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xl/python.xml" ContentType="application/vnd.ms-excel.pyth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66925"/>
  <xr:revisionPtr revIDLastSave="0" documentId="13_ncr:1_{7FC9A061-C4EF-4AD4-8C74-E291413A614D}" xr6:coauthVersionLast="47" xr6:coauthVersionMax="47" xr10:uidLastSave="{00000000-0000-0000-0000-000000000000}"/>
  <bookViews>
    <workbookView xWindow="-9010" yWindow="-21710" windowWidth="51820" windowHeight="21100" xr2:uid="{00000000-000D-0000-FFFF-FFFF00000000}"/>
  </bookViews>
  <sheets>
    <sheet name="CoverSheet" sheetId="13" r:id="rId1"/>
    <sheet name="TOC" sheetId="22" r:id="rId2"/>
    <sheet name="Guidelines" sheetId="24" r:id="rId3"/>
    <sheet name="S1.Profitability" sheetId="1" r:id="rId4"/>
    <sheet name="S2.Regulatory Profit" sheetId="2" r:id="rId5"/>
    <sheet name="S3.Tax Allowance" sheetId="4" r:id="rId6"/>
    <sheet name="S4.RAB Roll-Forward" sheetId="5" r:id="rId7"/>
    <sheet name="S5.Related Party Transactions" sheetId="6" r:id="rId8"/>
    <sheet name="S6.Actual to Forecast" sheetId="7" r:id="rId9"/>
    <sheet name="S7.Segmented Information" sheetId="8" r:id="rId10"/>
    <sheet name="S8.Consolidation Statement" sheetId="9" r:id="rId11"/>
    <sheet name="S9.Asset Allocation" sheetId="10" r:id="rId12"/>
    <sheet name="S10.Cost Allocation" sheetId="11" r:id="rId13"/>
    <sheet name="S11.Reliability" sheetId="14" r:id="rId14"/>
    <sheet name="S12.Airfield Cap &amp; Utilisation" sheetId="15" r:id="rId15"/>
    <sheet name="S13.Terminal Cap &amp; Utilisation" sheetId="16" r:id="rId16"/>
    <sheet name="S14.Passenger Surveys" sheetId="17" r:id="rId17"/>
    <sheet name="S15.Forum" sheetId="21" r:id="rId18"/>
    <sheet name="S16.Statistics" sheetId="18" r:id="rId19"/>
    <sheet name="S17.Pricing Stats" sheetId="19" r:id="rId20"/>
    <sheet name="S25.Transitional Initial RAB" sheetId="20" r:id="rId21"/>
    <sheet name="Commentary" sheetId="12" r:id="rId22"/>
  </sheets>
  <definedNames>
    <definedName name="_company_name">CoverSheet!$D$8</definedName>
    <definedName name="_consistencty_check">CoverSheet!$D$16</definedName>
    <definedName name="_disc_type">CoverSheet!$A$6</definedName>
    <definedName name="_disclosure_date">CoverSheet!$D$10</definedName>
    <definedName name="_dy_year_ended">CoverSheet!$D$12</definedName>
    <definedName name="_pp_starting_year">CoverSheet!$D$14</definedName>
    <definedName name="_schedule_numbers">CoverSheet!$A$18</definedName>
    <definedName name="_template_version">CoverSheet!$A$20</definedName>
    <definedName name="_template_version_text">CoverSheet!$A$19</definedName>
    <definedName name="_xlnm.Print_Area" localSheetId="0">CoverSheet!$A$1:$E$20</definedName>
    <definedName name="_xlnm.Print_Area" localSheetId="2">Guidelines!$A$1:$A$43</definedName>
    <definedName name="_xlnm.Print_Area" localSheetId="3">'S1.Profitability'!$A$1:$H$40,'S1.Profitability'!$A$43:$I$84</definedName>
    <definedName name="_xlnm.Print_Area" localSheetId="12">'S10.Cost Allocation'!$A$1:$J$14,'S10.Cost Allocation'!$A$16:$G$107,'S10.Cost Allocation'!$A$110:$H$141</definedName>
    <definedName name="_xlnm.Print_Area" localSheetId="13">'S11.Reliability'!$A$1:$G$39</definedName>
    <definedName name="_xlnm.Print_Area" localSheetId="14">'S12.Airfield Cap &amp; Utilisation'!$A$1:$H$52</definedName>
    <definedName name="_xlnm.Print_Area" localSheetId="15">'S13.Terminal Cap &amp; Utilisation'!$A$1:$H$50,'S13.Terminal Cap &amp; Utilisation'!$A$53:$H$91</definedName>
    <definedName name="_xlnm.Print_Area" localSheetId="18">'S16.Statistics'!$A$1:$F$98,'S16.Statistics'!$A$101:$G$152</definedName>
    <definedName name="_xlnm.Print_Area" localSheetId="19">'S17.Pricing Stats'!$A$1:$G$26</definedName>
    <definedName name="_xlnm.Print_Area" localSheetId="4">'S2.Regulatory Profit'!$A$1:$J$37</definedName>
    <definedName name="_xlnm.Print_Area" localSheetId="20">'S25.Transitional Initial RAB'!$A$1:$F$13</definedName>
    <definedName name="_xlnm.Print_Area" localSheetId="5">'S3.Tax Allowance'!$A$1:$F$58</definedName>
    <definedName name="_xlnm.Print_Area" localSheetId="6">'S4.RAB Roll-Forward'!$A$1:$G$34,'S4.RAB Roll-Forward'!$A$37:$H$79,'S4.RAB Roll-Forward'!$A$82:$I$120</definedName>
    <definedName name="_xlnm.Print_Area" localSheetId="7">'S5.Related Party Transactions'!$A$1:$F$44</definedName>
    <definedName name="_xlnm.Print_Area" localSheetId="8">'S6.Actual to Forecast'!$A$1:$J$29,'S6.Actual to Forecast'!$A$32:$I$56,'S6.Actual to Forecast'!$A$59:$L$73</definedName>
    <definedName name="_xlnm.Print_Area" localSheetId="9">'S7.Segmented Information'!$A$1:$G$22</definedName>
    <definedName name="_xlnm.Print_Area" localSheetId="10">'S8.Consolidation Statement'!$A$1:$H$27</definedName>
    <definedName name="_xlnm.Print_Area" localSheetId="11">'S9.Asset Allocation'!$A$1:$J$20,'S9.Asset Allocation'!$A$22:$G$114,'S9.Asset Allocation'!$A$116:$H$147</definedName>
    <definedName name="_xlnm.Print_Area" localSheetId="1">TOC!$A$1:$C$23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1" i="7" l="1"/>
  <c r="F25" i="16"/>
  <c r="H19" i="16" l="1"/>
  <c r="G19" i="16"/>
  <c r="F19" i="16"/>
  <c r="B1" i="4"/>
  <c r="B1" i="5"/>
  <c r="B1" i="6"/>
  <c r="B1" i="7"/>
  <c r="B1" i="8"/>
  <c r="B1" i="9"/>
  <c r="B1" i="10"/>
  <c r="B1" i="11"/>
  <c r="B1" i="14"/>
  <c r="B1" i="15"/>
  <c r="B1" i="16"/>
  <c r="B1" i="17"/>
  <c r="A1" i="21"/>
  <c r="B1" i="18"/>
  <c r="B1" i="19"/>
  <c r="B1" i="20"/>
  <c r="A1" i="12"/>
  <c r="B1" i="1"/>
  <c r="B1" i="2"/>
  <c r="N26" i="7"/>
  <c r="T28" i="1"/>
  <c r="R28" i="1"/>
  <c r="P28" i="1"/>
  <c r="N28" i="1"/>
  <c r="L28" i="1"/>
  <c r="K22" i="1"/>
  <c r="K21" i="1"/>
  <c r="K20" i="1"/>
  <c r="K19" i="1"/>
  <c r="K18" i="1"/>
  <c r="K17" i="1"/>
  <c r="K16" i="1"/>
  <c r="K15" i="1"/>
  <c r="K14" i="1"/>
  <c r="K13" i="1"/>
  <c r="K12" i="1"/>
  <c r="K11" i="1"/>
  <c r="K10" i="1"/>
  <c r="K9" i="1"/>
  <c r="K8" i="1"/>
  <c r="K7" i="1"/>
  <c r="B111" i="18"/>
  <c r="E16" i="1" l="1"/>
  <c r="L16" i="1"/>
  <c r="E19" i="1"/>
  <c r="L10" i="1"/>
  <c r="L11" i="1"/>
  <c r="E20" i="1"/>
  <c r="E21" i="1"/>
  <c r="L13" i="1"/>
  <c r="L21" i="1"/>
  <c r="L14" i="1"/>
  <c r="E15" i="1"/>
  <c r="L15" i="1"/>
  <c r="E17" i="1"/>
  <c r="L17" i="1"/>
  <c r="E18" i="1"/>
  <c r="L18" i="1"/>
  <c r="L19" i="1"/>
  <c r="L12" i="1"/>
  <c r="L20" i="1"/>
  <c r="I27" i="17"/>
  <c r="G14" i="5" l="1"/>
  <c r="G75" i="1"/>
  <c r="G76" i="1" l="1"/>
  <c r="G40" i="1"/>
  <c r="G77" i="16" l="1"/>
  <c r="F77" i="16"/>
  <c r="B39" i="6"/>
  <c r="B40" i="6"/>
  <c r="B41" i="6"/>
  <c r="B42" i="6"/>
  <c r="I46" i="1" l="1"/>
  <c r="I45" i="1" l="1"/>
  <c r="G9" i="14" l="1"/>
  <c r="F9" i="14"/>
  <c r="E13" i="14"/>
  <c r="O26" i="7"/>
  <c r="L26" i="7" l="1"/>
  <c r="G122" i="10"/>
  <c r="F19" i="10"/>
  <c r="G70" i="5"/>
  <c r="F23" i="7" l="1"/>
  <c r="F20" i="7"/>
  <c r="I22" i="7"/>
  <c r="I17" i="7"/>
  <c r="I26" i="7"/>
  <c r="I18" i="7"/>
  <c r="F17" i="7"/>
  <c r="I19" i="7"/>
  <c r="F9" i="7"/>
  <c r="F26" i="7"/>
  <c r="G26" i="7" s="1"/>
  <c r="F18" i="7"/>
  <c r="F19" i="7"/>
  <c r="F22" i="7"/>
  <c r="F24" i="7"/>
  <c r="F25" i="7"/>
  <c r="I20" i="7"/>
  <c r="I21" i="7"/>
  <c r="I23" i="7"/>
  <c r="I24" i="7"/>
  <c r="I25" i="7"/>
  <c r="F13" i="14"/>
  <c r="I11" i="7"/>
  <c r="M26" i="7"/>
  <c r="B28" i="7" s="1"/>
  <c r="F11" i="7"/>
  <c r="I10" i="7"/>
  <c r="F10" i="7"/>
  <c r="I9" i="7"/>
  <c r="I7" i="7"/>
  <c r="F7" i="7"/>
  <c r="I6" i="7"/>
  <c r="F6" i="7"/>
  <c r="G17" i="7" l="1"/>
  <c r="F27" i="7"/>
  <c r="I27" i="7"/>
  <c r="G13" i="14"/>
  <c r="E40" i="4" l="1"/>
  <c r="B151" i="18" l="1"/>
  <c r="B51" i="15"/>
  <c r="F64" i="16"/>
  <c r="F65" i="16"/>
  <c r="G43" i="16"/>
  <c r="G58" i="16"/>
  <c r="H58" i="16"/>
  <c r="F58" i="16"/>
  <c r="G49" i="16"/>
  <c r="F49" i="16"/>
  <c r="G48" i="16"/>
  <c r="F48" i="16"/>
  <c r="H31" i="5" l="1" a="1"/>
  <c r="H31" i="5" s="1"/>
  <c r="B19" i="12" l="1"/>
  <c r="B20" i="12"/>
  <c r="B21" i="12"/>
  <c r="B22" i="12"/>
  <c r="B23" i="12"/>
  <c r="B17" i="12"/>
  <c r="B18" i="12"/>
  <c r="B14" i="12"/>
  <c r="B15" i="12"/>
  <c r="B16" i="12"/>
  <c r="D12" i="20"/>
  <c r="B12" i="20"/>
  <c r="B11" i="20"/>
  <c r="B10" i="20"/>
  <c r="B9" i="20"/>
  <c r="B8" i="20"/>
  <c r="B7" i="20"/>
  <c r="B6" i="20"/>
  <c r="B6" i="19"/>
  <c r="B7" i="19"/>
  <c r="B8" i="19"/>
  <c r="B9" i="19"/>
  <c r="B10" i="19"/>
  <c r="B11" i="19"/>
  <c r="B12" i="19"/>
  <c r="B13" i="19"/>
  <c r="B14" i="19"/>
  <c r="B15" i="19"/>
  <c r="B16" i="19"/>
  <c r="B21" i="19"/>
  <c r="D21" i="19"/>
  <c r="E21" i="19"/>
  <c r="B22" i="19"/>
  <c r="D22" i="19"/>
  <c r="E22" i="19"/>
  <c r="B23" i="19"/>
  <c r="E23" i="19"/>
  <c r="B24" i="19"/>
  <c r="F24" i="19"/>
  <c r="B25" i="19"/>
  <c r="F25" i="19"/>
  <c r="G146" i="18"/>
  <c r="B146" i="18"/>
  <c r="B141" i="18"/>
  <c r="B140" i="18"/>
  <c r="B139" i="18"/>
  <c r="B138" i="18"/>
  <c r="B137" i="18"/>
  <c r="B136" i="18"/>
  <c r="B135" i="18"/>
  <c r="B134" i="18"/>
  <c r="B133" i="18"/>
  <c r="B128" i="18"/>
  <c r="F127" i="18"/>
  <c r="B127" i="18"/>
  <c r="E126" i="18"/>
  <c r="E13" i="19" s="1"/>
  <c r="D23" i="19" s="1"/>
  <c r="D126" i="18"/>
  <c r="B126" i="18"/>
  <c r="F125" i="18"/>
  <c r="B125" i="18"/>
  <c r="F124" i="18"/>
  <c r="B124" i="18"/>
  <c r="G118" i="18"/>
  <c r="B118" i="18"/>
  <c r="G117" i="18"/>
  <c r="B117" i="18"/>
  <c r="B106" i="18"/>
  <c r="B105" i="18"/>
  <c r="B104" i="18"/>
  <c r="B103" i="18"/>
  <c r="F98" i="18"/>
  <c r="E98" i="18"/>
  <c r="B98" i="18"/>
  <c r="B97" i="18"/>
  <c r="B96" i="18"/>
  <c r="B95" i="18"/>
  <c r="B94" i="18"/>
  <c r="B93" i="18"/>
  <c r="B92" i="18"/>
  <c r="B91" i="18"/>
  <c r="B90" i="18"/>
  <c r="B89" i="18"/>
  <c r="B88" i="18"/>
  <c r="B87" i="18"/>
  <c r="B86" i="18"/>
  <c r="B85" i="18"/>
  <c r="B84" i="18"/>
  <c r="B83" i="18"/>
  <c r="B82" i="18"/>
  <c r="B81" i="18"/>
  <c r="B80" i="18"/>
  <c r="F75" i="18"/>
  <c r="E75" i="18"/>
  <c r="B75" i="18"/>
  <c r="B74" i="18"/>
  <c r="B73" i="18"/>
  <c r="B72" i="18"/>
  <c r="B71" i="18"/>
  <c r="B70" i="18"/>
  <c r="B69" i="18"/>
  <c r="B68" i="18"/>
  <c r="B67" i="18"/>
  <c r="B66" i="18"/>
  <c r="B65" i="18"/>
  <c r="B64" i="18"/>
  <c r="B63" i="18"/>
  <c r="B62" i="18"/>
  <c r="B61" i="18"/>
  <c r="B60" i="18"/>
  <c r="B59" i="18"/>
  <c r="B58" i="18"/>
  <c r="B57" i="18"/>
  <c r="B56" i="18"/>
  <c r="B55" i="18"/>
  <c r="B54" i="18"/>
  <c r="B53" i="18"/>
  <c r="F48" i="18"/>
  <c r="E48" i="18"/>
  <c r="B48" i="18"/>
  <c r="B47" i="18"/>
  <c r="B46" i="18"/>
  <c r="B45" i="18"/>
  <c r="B44" i="18"/>
  <c r="B43" i="18"/>
  <c r="B42" i="18"/>
  <c r="B41" i="18"/>
  <c r="B40" i="18"/>
  <c r="B39" i="18"/>
  <c r="B38" i="18"/>
  <c r="B37" i="18"/>
  <c r="B36" i="18"/>
  <c r="B35" i="18"/>
  <c r="B34" i="18"/>
  <c r="B33" i="18"/>
  <c r="B32" i="18"/>
  <c r="B31" i="18"/>
  <c r="B30" i="18"/>
  <c r="B29" i="18"/>
  <c r="B28" i="18"/>
  <c r="B27" i="18"/>
  <c r="B26" i="18"/>
  <c r="B25" i="18"/>
  <c r="B24" i="18"/>
  <c r="B23" i="18"/>
  <c r="B22" i="18"/>
  <c r="B21" i="18"/>
  <c r="B20" i="18"/>
  <c r="B19" i="18"/>
  <c r="B18" i="18"/>
  <c r="B17" i="18"/>
  <c r="B16" i="18"/>
  <c r="B15" i="18"/>
  <c r="B14" i="18"/>
  <c r="B13" i="18"/>
  <c r="B12" i="18"/>
  <c r="B11" i="18"/>
  <c r="B10" i="18"/>
  <c r="B9" i="18"/>
  <c r="B8" i="18"/>
  <c r="B7" i="18"/>
  <c r="B6" i="18"/>
  <c r="H42" i="17"/>
  <c r="G42" i="17"/>
  <c r="F42" i="17"/>
  <c r="E42" i="17"/>
  <c r="B42" i="17"/>
  <c r="I41" i="17"/>
  <c r="B41" i="17"/>
  <c r="I40" i="17"/>
  <c r="B40" i="17"/>
  <c r="I39" i="17"/>
  <c r="B39" i="17"/>
  <c r="I38" i="17"/>
  <c r="B38" i="17"/>
  <c r="I37" i="17"/>
  <c r="B37" i="17"/>
  <c r="I36" i="17"/>
  <c r="B36" i="17"/>
  <c r="I35" i="17"/>
  <c r="B35" i="17"/>
  <c r="I34" i="17"/>
  <c r="B34" i="17"/>
  <c r="I33" i="17"/>
  <c r="B33" i="17"/>
  <c r="I32" i="17"/>
  <c r="B32" i="17"/>
  <c r="I31" i="17"/>
  <c r="B31" i="17"/>
  <c r="I30" i="17"/>
  <c r="B30" i="17"/>
  <c r="I29" i="17"/>
  <c r="B29" i="17"/>
  <c r="I28" i="17"/>
  <c r="B28" i="17"/>
  <c r="B27" i="17"/>
  <c r="H26" i="17"/>
  <c r="G26" i="17"/>
  <c r="F26" i="17"/>
  <c r="E26" i="17"/>
  <c r="B26" i="17"/>
  <c r="I25" i="17"/>
  <c r="B25" i="17"/>
  <c r="I24" i="17"/>
  <c r="B24" i="17"/>
  <c r="I23" i="17"/>
  <c r="B23" i="17"/>
  <c r="I22" i="17"/>
  <c r="B22" i="17"/>
  <c r="I21" i="17"/>
  <c r="B21" i="17"/>
  <c r="I20" i="17"/>
  <c r="B20" i="17"/>
  <c r="I19" i="17"/>
  <c r="B19" i="17"/>
  <c r="I18" i="17"/>
  <c r="B18" i="17"/>
  <c r="I17" i="17"/>
  <c r="B17" i="17"/>
  <c r="I16" i="17"/>
  <c r="B16" i="17"/>
  <c r="I15" i="17"/>
  <c r="B15" i="17"/>
  <c r="I14" i="17"/>
  <c r="B14" i="17"/>
  <c r="I13" i="17"/>
  <c r="B13" i="17"/>
  <c r="I12" i="17"/>
  <c r="B12" i="17"/>
  <c r="B7" i="17"/>
  <c r="B6" i="17"/>
  <c r="B6" i="16"/>
  <c r="B7" i="16"/>
  <c r="B8" i="16"/>
  <c r="B9" i="16"/>
  <c r="F9" i="16"/>
  <c r="G9" i="16"/>
  <c r="H9" i="16"/>
  <c r="B10" i="16"/>
  <c r="B11" i="16"/>
  <c r="B12" i="16"/>
  <c r="B13" i="16"/>
  <c r="F13" i="16"/>
  <c r="G13" i="16"/>
  <c r="H13" i="16"/>
  <c r="B14" i="16"/>
  <c r="B15" i="16"/>
  <c r="B16" i="16"/>
  <c r="B17" i="16"/>
  <c r="B18" i="16"/>
  <c r="B19" i="16"/>
  <c r="B20" i="16"/>
  <c r="B21" i="16"/>
  <c r="B22" i="16"/>
  <c r="B23" i="16"/>
  <c r="B24" i="16"/>
  <c r="B25" i="16"/>
  <c r="B26" i="16"/>
  <c r="F26" i="16"/>
  <c r="B27" i="16"/>
  <c r="B28" i="16"/>
  <c r="B29" i="16"/>
  <c r="B30" i="16"/>
  <c r="B31" i="16"/>
  <c r="B32" i="16"/>
  <c r="F32" i="16"/>
  <c r="G32" i="16"/>
  <c r="B33" i="16"/>
  <c r="F33" i="16"/>
  <c r="G33" i="16"/>
  <c r="B34" i="16"/>
  <c r="B35" i="16"/>
  <c r="B36" i="16"/>
  <c r="B37" i="16"/>
  <c r="B38" i="16"/>
  <c r="F38" i="16"/>
  <c r="B39" i="16"/>
  <c r="F39" i="16"/>
  <c r="B40" i="16"/>
  <c r="B41" i="16"/>
  <c r="B42" i="16"/>
  <c r="B43" i="16"/>
  <c r="F43" i="16"/>
  <c r="B44" i="16"/>
  <c r="B45" i="16"/>
  <c r="B46" i="16"/>
  <c r="B47" i="16"/>
  <c r="B48" i="16"/>
  <c r="B49" i="16"/>
  <c r="B55" i="16"/>
  <c r="B56" i="16"/>
  <c r="B57" i="16"/>
  <c r="B58" i="16"/>
  <c r="B59" i="16"/>
  <c r="B60" i="16"/>
  <c r="B61" i="16"/>
  <c r="B62" i="16"/>
  <c r="B63" i="16"/>
  <c r="B64" i="16"/>
  <c r="B65" i="16"/>
  <c r="B66" i="16"/>
  <c r="B67" i="16"/>
  <c r="B68" i="16"/>
  <c r="B69" i="16"/>
  <c r="F69" i="16"/>
  <c r="G69" i="16"/>
  <c r="H69" i="16"/>
  <c r="B70" i="16"/>
  <c r="B71" i="16"/>
  <c r="B72" i="16"/>
  <c r="B73" i="16"/>
  <c r="B74" i="16"/>
  <c r="B75" i="16"/>
  <c r="B76" i="16"/>
  <c r="F76" i="16"/>
  <c r="G76" i="16"/>
  <c r="B77" i="16"/>
  <c r="B78" i="16"/>
  <c r="B79" i="16"/>
  <c r="B80" i="16"/>
  <c r="B81" i="16"/>
  <c r="B82" i="16"/>
  <c r="F82" i="16"/>
  <c r="B83" i="16"/>
  <c r="F83" i="16"/>
  <c r="B84" i="16"/>
  <c r="B85" i="16"/>
  <c r="B86" i="16"/>
  <c r="B87" i="16"/>
  <c r="F87" i="16"/>
  <c r="G87" i="16"/>
  <c r="H87" i="16"/>
  <c r="B88" i="16"/>
  <c r="B89" i="16"/>
  <c r="B46" i="15"/>
  <c r="B45" i="15"/>
  <c r="G44" i="15"/>
  <c r="F44" i="15"/>
  <c r="E44" i="15"/>
  <c r="B44" i="15"/>
  <c r="H43" i="15"/>
  <c r="B43" i="15"/>
  <c r="H42" i="15"/>
  <c r="B42" i="15"/>
  <c r="H41" i="15"/>
  <c r="B41" i="15"/>
  <c r="B36" i="15"/>
  <c r="B35" i="15"/>
  <c r="H30" i="15"/>
  <c r="G30" i="15"/>
  <c r="F30" i="15"/>
  <c r="B30" i="15"/>
  <c r="B29" i="15"/>
  <c r="B28" i="15"/>
  <c r="B27" i="15"/>
  <c r="B22" i="15"/>
  <c r="B21" i="15"/>
  <c r="B20" i="15"/>
  <c r="B19" i="15"/>
  <c r="B18" i="15"/>
  <c r="B13" i="15"/>
  <c r="B12" i="15"/>
  <c r="B11" i="15"/>
  <c r="B10" i="15"/>
  <c r="B9" i="15"/>
  <c r="B8" i="15"/>
  <c r="B7" i="15"/>
  <c r="B6" i="15"/>
  <c r="B38" i="14"/>
  <c r="G33" i="14"/>
  <c r="F33" i="14"/>
  <c r="E33" i="14"/>
  <c r="B33" i="14"/>
  <c r="B32" i="14"/>
  <c r="B31" i="14"/>
  <c r="B30" i="14"/>
  <c r="G29" i="14"/>
  <c r="F29" i="14"/>
  <c r="E29" i="14"/>
  <c r="B29" i="14"/>
  <c r="B28" i="14"/>
  <c r="B27" i="14"/>
  <c r="B26" i="14"/>
  <c r="G25" i="14"/>
  <c r="F25" i="14"/>
  <c r="E25" i="14"/>
  <c r="B25" i="14"/>
  <c r="B24" i="14"/>
  <c r="B23" i="14"/>
  <c r="B22" i="14"/>
  <c r="G21" i="14"/>
  <c r="F21" i="14"/>
  <c r="E21" i="14"/>
  <c r="B21" i="14"/>
  <c r="B20" i="14"/>
  <c r="B19" i="14"/>
  <c r="B18" i="14"/>
  <c r="G17" i="14"/>
  <c r="F17" i="14"/>
  <c r="E17" i="14"/>
  <c r="B17" i="14"/>
  <c r="B16" i="14"/>
  <c r="B15" i="14"/>
  <c r="B14" i="14"/>
  <c r="B13" i="14"/>
  <c r="B12" i="14"/>
  <c r="B11" i="14"/>
  <c r="B10" i="14"/>
  <c r="E9" i="14"/>
  <c r="B9" i="14"/>
  <c r="B8" i="14"/>
  <c r="B7" i="14"/>
  <c r="B6" i="14"/>
  <c r="I26" i="17" l="1"/>
  <c r="H44" i="15"/>
  <c r="H46" i="15" s="1"/>
  <c r="D111" i="18"/>
  <c r="E111" i="18"/>
  <c r="F126" i="18"/>
  <c r="F128" i="18" s="1"/>
  <c r="G24" i="19"/>
  <c r="I42" i="17"/>
  <c r="G25" i="19"/>
  <c r="L70" i="7" l="1"/>
  <c r="B70" i="7"/>
  <c r="B7" i="5" l="1"/>
  <c r="B8" i="5"/>
  <c r="B9" i="5"/>
  <c r="B10" i="5"/>
  <c r="B11" i="5"/>
  <c r="B12" i="5"/>
  <c r="B13" i="5"/>
  <c r="B6" i="5"/>
  <c r="B6" i="12" l="1"/>
  <c r="B7" i="12"/>
  <c r="B8" i="12"/>
  <c r="B9" i="12"/>
  <c r="B10" i="12"/>
  <c r="B11" i="12"/>
  <c r="B12" i="12"/>
  <c r="B13" i="12"/>
  <c r="B5" i="12"/>
  <c r="F12" i="2"/>
  <c r="F122" i="10" l="1"/>
  <c r="H46" i="1"/>
  <c r="H45" i="1"/>
  <c r="F36" i="1"/>
  <c r="G33" i="1"/>
  <c r="E66" i="1"/>
  <c r="G19" i="2"/>
  <c r="H27" i="7"/>
  <c r="E55" i="7"/>
  <c r="G55" i="7"/>
  <c r="H55" i="7"/>
  <c r="I55" i="7"/>
  <c r="H47" i="1" l="1"/>
  <c r="G66" i="1"/>
  <c r="H66" i="1"/>
  <c r="L22" i="1" s="1"/>
  <c r="I66" i="1"/>
  <c r="B118" i="11" l="1"/>
  <c r="B119" i="11"/>
  <c r="B120" i="11"/>
  <c r="B121" i="11"/>
  <c r="B122" i="11"/>
  <c r="B123" i="11"/>
  <c r="B124" i="11"/>
  <c r="B125" i="11"/>
  <c r="B126" i="11"/>
  <c r="B127" i="11"/>
  <c r="B128" i="11"/>
  <c r="B129" i="11"/>
  <c r="B130" i="11"/>
  <c r="B131" i="11"/>
  <c r="B132" i="11"/>
  <c r="B133" i="11"/>
  <c r="B134" i="11"/>
  <c r="B135" i="11"/>
  <c r="B136" i="11"/>
  <c r="B137" i="11"/>
  <c r="B138" i="11"/>
  <c r="B139" i="11"/>
  <c r="B140" i="11"/>
  <c r="B114" i="11"/>
  <c r="B115" i="11"/>
  <c r="B116" i="11"/>
  <c r="B117" i="11"/>
  <c r="B113" i="11"/>
  <c r="B43" i="11"/>
  <c r="B44" i="11"/>
  <c r="B45" i="11"/>
  <c r="B46" i="11"/>
  <c r="B47" i="11"/>
  <c r="B48" i="11"/>
  <c r="B49" i="11"/>
  <c r="B50" i="11"/>
  <c r="B51" i="11"/>
  <c r="B52" i="11"/>
  <c r="B53" i="11"/>
  <c r="B54" i="11"/>
  <c r="B55" i="11"/>
  <c r="B56" i="11"/>
  <c r="B57" i="11"/>
  <c r="B58" i="11"/>
  <c r="B59" i="11"/>
  <c r="B60" i="11"/>
  <c r="B61" i="11"/>
  <c r="B62" i="11"/>
  <c r="B63" i="11"/>
  <c r="B64" i="11"/>
  <c r="B65" i="11"/>
  <c r="B66" i="11"/>
  <c r="B67" i="11"/>
  <c r="B68" i="11"/>
  <c r="B69" i="11"/>
  <c r="B70" i="11"/>
  <c r="B71" i="11"/>
  <c r="B72" i="11"/>
  <c r="B73" i="11"/>
  <c r="B74" i="11"/>
  <c r="B75" i="11"/>
  <c r="B76" i="11"/>
  <c r="B77" i="11"/>
  <c r="B78" i="11"/>
  <c r="B79" i="11"/>
  <c r="B80" i="11"/>
  <c r="B81" i="11"/>
  <c r="B82" i="11"/>
  <c r="B83" i="11"/>
  <c r="B84" i="11"/>
  <c r="B85" i="11"/>
  <c r="B86" i="11"/>
  <c r="B87" i="11"/>
  <c r="B88" i="11"/>
  <c r="B89" i="11"/>
  <c r="B90" i="11"/>
  <c r="B91" i="11"/>
  <c r="B92" i="11"/>
  <c r="B93" i="11"/>
  <c r="B94" i="11"/>
  <c r="B95" i="11"/>
  <c r="B96" i="11"/>
  <c r="B97" i="11"/>
  <c r="B98" i="11"/>
  <c r="B99" i="11"/>
  <c r="B100" i="11"/>
  <c r="B101" i="11"/>
  <c r="B102" i="11"/>
  <c r="B103" i="11"/>
  <c r="B104" i="11"/>
  <c r="B105" i="11"/>
  <c r="B106" i="11"/>
  <c r="B107" i="11"/>
  <c r="B36" i="11"/>
  <c r="B37" i="11"/>
  <c r="B38" i="11"/>
  <c r="B39" i="11"/>
  <c r="B40" i="11"/>
  <c r="B41" i="11"/>
  <c r="B42" i="11"/>
  <c r="B30" i="11"/>
  <c r="B31" i="11"/>
  <c r="B32" i="11"/>
  <c r="B33" i="11"/>
  <c r="B34" i="11"/>
  <c r="B35" i="11"/>
  <c r="B25" i="11"/>
  <c r="B26" i="11"/>
  <c r="B27" i="11"/>
  <c r="B28" i="11"/>
  <c r="B29" i="11"/>
  <c r="B22" i="11"/>
  <c r="B23" i="11"/>
  <c r="B24" i="11"/>
  <c r="B19" i="11"/>
  <c r="B20" i="11"/>
  <c r="B21" i="11"/>
  <c r="B18" i="11"/>
  <c r="B7" i="11"/>
  <c r="B8" i="11"/>
  <c r="B9" i="11"/>
  <c r="B10" i="11"/>
  <c r="B11" i="11"/>
  <c r="B12" i="11"/>
  <c r="B13" i="11"/>
  <c r="B14" i="11"/>
  <c r="B6" i="11"/>
  <c r="B120" i="10"/>
  <c r="B121" i="10"/>
  <c r="B122" i="10"/>
  <c r="B123" i="10"/>
  <c r="B124" i="10"/>
  <c r="B125" i="10"/>
  <c r="B126" i="10"/>
  <c r="B127" i="10"/>
  <c r="B128" i="10"/>
  <c r="B129" i="10"/>
  <c r="B130" i="10"/>
  <c r="B131" i="10"/>
  <c r="B132" i="10"/>
  <c r="B133" i="10"/>
  <c r="B134" i="10"/>
  <c r="B135" i="10"/>
  <c r="B136" i="10"/>
  <c r="B137" i="10"/>
  <c r="B138" i="10"/>
  <c r="B139" i="10"/>
  <c r="B140" i="10"/>
  <c r="B141" i="10"/>
  <c r="B142" i="10"/>
  <c r="B143" i="10"/>
  <c r="B144" i="10"/>
  <c r="B145" i="10"/>
  <c r="B146" i="10"/>
  <c r="B119" i="10"/>
  <c r="B31" i="10"/>
  <c r="B32" i="10"/>
  <c r="B33" i="10"/>
  <c r="B34" i="10"/>
  <c r="B35" i="10"/>
  <c r="B36" i="10"/>
  <c r="B37" i="10"/>
  <c r="B38" i="10"/>
  <c r="B39" i="10"/>
  <c r="B40" i="10"/>
  <c r="B41" i="10"/>
  <c r="B42" i="10"/>
  <c r="B43" i="10"/>
  <c r="B44" i="10"/>
  <c r="B45" i="10"/>
  <c r="B46" i="10"/>
  <c r="B47" i="10"/>
  <c r="B48" i="10"/>
  <c r="B49" i="10"/>
  <c r="B50" i="10"/>
  <c r="B51" i="10"/>
  <c r="B52" i="10"/>
  <c r="B53" i="10"/>
  <c r="B54" i="10"/>
  <c r="B55" i="10"/>
  <c r="B56" i="10"/>
  <c r="B57" i="10"/>
  <c r="B58" i="10"/>
  <c r="B59" i="10"/>
  <c r="B60" i="10"/>
  <c r="B61" i="10"/>
  <c r="B62" i="10"/>
  <c r="B63" i="10"/>
  <c r="B64" i="10"/>
  <c r="B65" i="10"/>
  <c r="B66" i="10"/>
  <c r="B67" i="10"/>
  <c r="B68" i="10"/>
  <c r="B69" i="10"/>
  <c r="B70" i="10"/>
  <c r="B71" i="10"/>
  <c r="B72" i="10"/>
  <c r="B73" i="10"/>
  <c r="B74" i="10"/>
  <c r="B75" i="10"/>
  <c r="B76" i="10"/>
  <c r="B77" i="10"/>
  <c r="B78" i="10"/>
  <c r="B79" i="10"/>
  <c r="B80" i="10"/>
  <c r="B81" i="10"/>
  <c r="B82" i="10"/>
  <c r="B83" i="10"/>
  <c r="B84" i="10"/>
  <c r="B85" i="10"/>
  <c r="B86" i="10"/>
  <c r="B87" i="10"/>
  <c r="B88" i="10"/>
  <c r="B89" i="10"/>
  <c r="B90" i="10"/>
  <c r="B91" i="10"/>
  <c r="B92" i="10"/>
  <c r="B93" i="10"/>
  <c r="B94" i="10"/>
  <c r="B95" i="10"/>
  <c r="B96" i="10"/>
  <c r="B97" i="10"/>
  <c r="B98" i="10"/>
  <c r="B99" i="10"/>
  <c r="B100" i="10"/>
  <c r="B101" i="10"/>
  <c r="B102" i="10"/>
  <c r="B103" i="10"/>
  <c r="B104" i="10"/>
  <c r="B105" i="10"/>
  <c r="B106" i="10"/>
  <c r="B107" i="10"/>
  <c r="B108" i="10"/>
  <c r="B109" i="10"/>
  <c r="B110" i="10"/>
  <c r="B111" i="10"/>
  <c r="B112" i="10"/>
  <c r="B113" i="10"/>
  <c r="B25" i="10"/>
  <c r="B26" i="10"/>
  <c r="B27" i="10"/>
  <c r="B28" i="10"/>
  <c r="B29" i="10"/>
  <c r="B30" i="10"/>
  <c r="B24" i="10"/>
  <c r="B15" i="10"/>
  <c r="B16" i="10"/>
  <c r="B17" i="10"/>
  <c r="B18" i="10"/>
  <c r="B19" i="10"/>
  <c r="B20" i="10"/>
  <c r="B7" i="10"/>
  <c r="B8" i="10"/>
  <c r="B9" i="10"/>
  <c r="B10" i="10"/>
  <c r="B11" i="10"/>
  <c r="B12" i="10"/>
  <c r="B13" i="10"/>
  <c r="B14" i="10"/>
  <c r="B6" i="10"/>
  <c r="B38" i="7"/>
  <c r="B39" i="7"/>
  <c r="B40" i="7"/>
  <c r="B41" i="7"/>
  <c r="B36" i="7"/>
  <c r="B37" i="7"/>
  <c r="B35" i="7"/>
  <c r="G21" i="2" l="1"/>
  <c r="F23" i="2" l="1"/>
  <c r="E12" i="4" l="1"/>
  <c r="U100" i="1"/>
  <c r="U90" i="1"/>
  <c r="U91" i="1"/>
  <c r="U92" i="1"/>
  <c r="U93" i="1"/>
  <c r="U94" i="1"/>
  <c r="U95" i="1"/>
  <c r="U96" i="1"/>
  <c r="U97" i="1"/>
  <c r="U98" i="1"/>
  <c r="U99" i="1"/>
  <c r="U89" i="1"/>
  <c r="U88" i="1"/>
  <c r="U87" i="1"/>
  <c r="T95" i="1"/>
  <c r="S76" i="1"/>
  <c r="U76" i="1" s="1"/>
  <c r="S77" i="1"/>
  <c r="U77" i="1" s="1"/>
  <c r="S78" i="1"/>
  <c r="U78" i="1" s="1"/>
  <c r="S79" i="1"/>
  <c r="U79" i="1" s="1"/>
  <c r="S80" i="1"/>
  <c r="U80" i="1" s="1"/>
  <c r="S81" i="1"/>
  <c r="U81" i="1" s="1"/>
  <c r="S82" i="1"/>
  <c r="U82" i="1" s="1"/>
  <c r="S83" i="1"/>
  <c r="U83" i="1" s="1"/>
  <c r="S84" i="1"/>
  <c r="U84" i="1" s="1"/>
  <c r="S85" i="1"/>
  <c r="U85" i="1" s="1"/>
  <c r="S86" i="1"/>
  <c r="U86" i="1" s="1"/>
  <c r="S75" i="1"/>
  <c r="U75" i="1" s="1"/>
  <c r="S74" i="1"/>
  <c r="U74" i="1" s="1"/>
  <c r="S73" i="1"/>
  <c r="U73" i="1" s="1"/>
  <c r="Q62" i="1"/>
  <c r="S62" i="1" s="1"/>
  <c r="U62" i="1" s="1"/>
  <c r="Q63" i="1"/>
  <c r="S63" i="1" s="1"/>
  <c r="U63" i="1" s="1"/>
  <c r="Q64" i="1"/>
  <c r="S64" i="1" s="1"/>
  <c r="U64" i="1" s="1"/>
  <c r="Q65" i="1"/>
  <c r="S65" i="1" s="1"/>
  <c r="U65" i="1" s="1"/>
  <c r="Q66" i="1"/>
  <c r="S66" i="1" s="1"/>
  <c r="U66" i="1" s="1"/>
  <c r="Q67" i="1"/>
  <c r="S67" i="1" s="1"/>
  <c r="U67" i="1" s="1"/>
  <c r="Q68" i="1"/>
  <c r="S68" i="1" s="1"/>
  <c r="U68" i="1" s="1"/>
  <c r="Q69" i="1"/>
  <c r="S69" i="1" s="1"/>
  <c r="U69" i="1" s="1"/>
  <c r="Q70" i="1"/>
  <c r="S70" i="1" s="1"/>
  <c r="U70" i="1" s="1"/>
  <c r="Q71" i="1"/>
  <c r="S71" i="1" s="1"/>
  <c r="U71" i="1" s="1"/>
  <c r="Q72" i="1"/>
  <c r="S72" i="1" s="1"/>
  <c r="U72" i="1" s="1"/>
  <c r="Q61" i="1"/>
  <c r="S61" i="1" s="1"/>
  <c r="U61" i="1" s="1"/>
  <c r="Q60" i="1"/>
  <c r="S60" i="1" s="1"/>
  <c r="U60" i="1" s="1"/>
  <c r="Q59" i="1"/>
  <c r="S59" i="1" s="1"/>
  <c r="U59" i="1" s="1"/>
  <c r="R86" i="1"/>
  <c r="T86" i="1" s="1"/>
  <c r="O58" i="1"/>
  <c r="Q58" i="1" s="1"/>
  <c r="S58" i="1" s="1"/>
  <c r="U58" i="1" s="1"/>
  <c r="O48" i="1"/>
  <c r="Q48" i="1" s="1"/>
  <c r="S48" i="1" s="1"/>
  <c r="U48" i="1" s="1"/>
  <c r="O49" i="1"/>
  <c r="Q49" i="1" s="1"/>
  <c r="S49" i="1" s="1"/>
  <c r="U49" i="1" s="1"/>
  <c r="O50" i="1"/>
  <c r="Q50" i="1" s="1"/>
  <c r="S50" i="1" s="1"/>
  <c r="U50" i="1" s="1"/>
  <c r="O51" i="1"/>
  <c r="Q51" i="1" s="1"/>
  <c r="S51" i="1" s="1"/>
  <c r="U51" i="1" s="1"/>
  <c r="O52" i="1"/>
  <c r="Q52" i="1" s="1"/>
  <c r="S52" i="1" s="1"/>
  <c r="U52" i="1" s="1"/>
  <c r="O53" i="1"/>
  <c r="Q53" i="1" s="1"/>
  <c r="S53" i="1" s="1"/>
  <c r="U53" i="1" s="1"/>
  <c r="O54" i="1"/>
  <c r="Q54" i="1" s="1"/>
  <c r="S54" i="1" s="1"/>
  <c r="U54" i="1" s="1"/>
  <c r="O55" i="1"/>
  <c r="Q55" i="1" s="1"/>
  <c r="S55" i="1" s="1"/>
  <c r="U55" i="1" s="1"/>
  <c r="O56" i="1"/>
  <c r="Q56" i="1" s="1"/>
  <c r="S56" i="1" s="1"/>
  <c r="U56" i="1" s="1"/>
  <c r="O57" i="1"/>
  <c r="Q57" i="1" s="1"/>
  <c r="S57" i="1" s="1"/>
  <c r="U57" i="1" s="1"/>
  <c r="O47" i="1"/>
  <c r="Q47" i="1" s="1"/>
  <c r="S47" i="1" s="1"/>
  <c r="U47" i="1" s="1"/>
  <c r="O46" i="1"/>
  <c r="Q46" i="1" s="1"/>
  <c r="S46" i="1" s="1"/>
  <c r="U46" i="1" s="1"/>
  <c r="O45" i="1"/>
  <c r="Q45" i="1" s="1"/>
  <c r="S45" i="1" s="1"/>
  <c r="U45" i="1" s="1"/>
  <c r="N56" i="1"/>
  <c r="P56" i="1" s="1"/>
  <c r="R56" i="1" s="1"/>
  <c r="T56" i="1" s="1"/>
  <c r="M44" i="1"/>
  <c r="O44" i="1" s="1"/>
  <c r="Q44" i="1" s="1"/>
  <c r="S44" i="1" s="1"/>
  <c r="U44" i="1" s="1"/>
  <c r="M34" i="1"/>
  <c r="O34" i="1" s="1"/>
  <c r="Q34" i="1" s="1"/>
  <c r="S34" i="1" s="1"/>
  <c r="U34" i="1" s="1"/>
  <c r="M35" i="1"/>
  <c r="O35" i="1" s="1"/>
  <c r="Q35" i="1" s="1"/>
  <c r="S35" i="1" s="1"/>
  <c r="U35" i="1" s="1"/>
  <c r="M36" i="1"/>
  <c r="O36" i="1" s="1"/>
  <c r="Q36" i="1" s="1"/>
  <c r="S36" i="1" s="1"/>
  <c r="U36" i="1" s="1"/>
  <c r="M37" i="1"/>
  <c r="O37" i="1" s="1"/>
  <c r="Q37" i="1" s="1"/>
  <c r="S37" i="1" s="1"/>
  <c r="U37" i="1" s="1"/>
  <c r="M38" i="1"/>
  <c r="O38" i="1" s="1"/>
  <c r="Q38" i="1" s="1"/>
  <c r="S38" i="1" s="1"/>
  <c r="U38" i="1" s="1"/>
  <c r="M39" i="1"/>
  <c r="O39" i="1" s="1"/>
  <c r="Q39" i="1" s="1"/>
  <c r="S39" i="1" s="1"/>
  <c r="U39" i="1" s="1"/>
  <c r="M40" i="1"/>
  <c r="O40" i="1" s="1"/>
  <c r="Q40" i="1" s="1"/>
  <c r="S40" i="1" s="1"/>
  <c r="U40" i="1" s="1"/>
  <c r="M41" i="1"/>
  <c r="O41" i="1" s="1"/>
  <c r="Q41" i="1" s="1"/>
  <c r="S41" i="1" s="1"/>
  <c r="U41" i="1" s="1"/>
  <c r="M42" i="1"/>
  <c r="O42" i="1" s="1"/>
  <c r="Q42" i="1" s="1"/>
  <c r="S42" i="1" s="1"/>
  <c r="U42" i="1" s="1"/>
  <c r="M43" i="1"/>
  <c r="O43" i="1" s="1"/>
  <c r="Q43" i="1" s="1"/>
  <c r="S43" i="1" s="1"/>
  <c r="U43" i="1" s="1"/>
  <c r="M33" i="1"/>
  <c r="O33" i="1" s="1"/>
  <c r="Q33" i="1" s="1"/>
  <c r="S33" i="1" s="1"/>
  <c r="U33" i="1" s="1"/>
  <c r="M32" i="1"/>
  <c r="O32" i="1" s="1"/>
  <c r="Q32" i="1" s="1"/>
  <c r="S32" i="1" s="1"/>
  <c r="U32" i="1" s="1"/>
  <c r="M31" i="1"/>
  <c r="O31" i="1" s="1"/>
  <c r="Q31" i="1" s="1"/>
  <c r="S31" i="1" s="1"/>
  <c r="U31" i="1" s="1"/>
  <c r="G73" i="1"/>
  <c r="G74" i="1"/>
  <c r="G72" i="1"/>
  <c r="F77" i="1"/>
  <c r="F37" i="1" s="1"/>
  <c r="E77" i="1"/>
  <c r="Q73" i="1"/>
  <c r="S87" i="1"/>
  <c r="U101" i="1"/>
  <c r="G46" i="1"/>
  <c r="G45" i="1"/>
  <c r="F66" i="1"/>
  <c r="O59" i="1" s="1"/>
  <c r="F46" i="1"/>
  <c r="F45" i="1"/>
  <c r="M45" i="1"/>
  <c r="E47" i="1"/>
  <c r="M30" i="1" s="1"/>
  <c r="F32" i="1"/>
  <c r="F29" i="1"/>
  <c r="F28" i="1"/>
  <c r="E29" i="1"/>
  <c r="F22" i="1"/>
  <c r="F14" i="1"/>
  <c r="E13" i="1"/>
  <c r="G13" i="1" s="1"/>
  <c r="E12" i="1"/>
  <c r="G12" i="1" s="1"/>
  <c r="E37" i="1" l="1"/>
  <c r="G37" i="1" s="1"/>
  <c r="G77" i="1"/>
  <c r="P71" i="1"/>
  <c r="R71" i="1" s="1"/>
  <c r="T71" i="1" s="1"/>
  <c r="L44" i="1"/>
  <c r="N44" i="1" s="1"/>
  <c r="P44" i="1" s="1"/>
  <c r="R44" i="1" s="1"/>
  <c r="T44" i="1" s="1"/>
  <c r="G21" i="1"/>
  <c r="E14" i="1"/>
  <c r="G14" i="1" s="1"/>
  <c r="L42" i="1"/>
  <c r="N42" i="1" s="1"/>
  <c r="P42" i="1" s="1"/>
  <c r="R42" i="1" s="1"/>
  <c r="T42" i="1" s="1"/>
  <c r="N48" i="1"/>
  <c r="P48" i="1" s="1"/>
  <c r="R48" i="1" s="1"/>
  <c r="T48" i="1" s="1"/>
  <c r="P63" i="1"/>
  <c r="R63" i="1" s="1"/>
  <c r="T63" i="1" s="1"/>
  <c r="T87" i="1"/>
  <c r="L31" i="1"/>
  <c r="N31" i="1" s="1"/>
  <c r="P31" i="1" s="1"/>
  <c r="R31" i="1" s="1"/>
  <c r="T31" i="1" s="1"/>
  <c r="N49" i="1"/>
  <c r="P49" i="1" s="1"/>
  <c r="R49" i="1" s="1"/>
  <c r="T49" i="1" s="1"/>
  <c r="P64" i="1"/>
  <c r="R64" i="1" s="1"/>
  <c r="T64" i="1" s="1"/>
  <c r="L39" i="1"/>
  <c r="N39" i="1" s="1"/>
  <c r="P39" i="1" s="1"/>
  <c r="R39" i="1" s="1"/>
  <c r="T39" i="1" s="1"/>
  <c r="N45" i="1"/>
  <c r="P45" i="1" s="1"/>
  <c r="R45" i="1" s="1"/>
  <c r="T45" i="1" s="1"/>
  <c r="N57" i="1"/>
  <c r="P57" i="1" s="1"/>
  <c r="R57" i="1" s="1"/>
  <c r="T57" i="1" s="1"/>
  <c r="P60" i="1"/>
  <c r="R60" i="1" s="1"/>
  <c r="T60" i="1" s="1"/>
  <c r="P72" i="1"/>
  <c r="R72" i="1" s="1"/>
  <c r="T72" i="1" s="1"/>
  <c r="R75" i="1"/>
  <c r="T75" i="1" s="1"/>
  <c r="R87" i="1"/>
  <c r="T96" i="1"/>
  <c r="N46" i="1"/>
  <c r="P46" i="1" s="1"/>
  <c r="R46" i="1" s="1"/>
  <c r="T46" i="1" s="1"/>
  <c r="P61" i="1"/>
  <c r="R61" i="1" s="1"/>
  <c r="T61" i="1" s="1"/>
  <c r="R76" i="1"/>
  <c r="T76" i="1" s="1"/>
  <c r="T97" i="1"/>
  <c r="N59" i="1"/>
  <c r="R77" i="1"/>
  <c r="T77" i="1" s="1"/>
  <c r="T100" i="1"/>
  <c r="P65" i="1"/>
  <c r="R65" i="1" s="1"/>
  <c r="T65" i="1" s="1"/>
  <c r="R80" i="1"/>
  <c r="T80" i="1" s="1"/>
  <c r="T89" i="1"/>
  <c r="T101" i="1"/>
  <c r="L40" i="1"/>
  <c r="N40" i="1" s="1"/>
  <c r="P40" i="1" s="1"/>
  <c r="R40" i="1" s="1"/>
  <c r="T40" i="1" s="1"/>
  <c r="P73" i="1"/>
  <c r="N47" i="1"/>
  <c r="P47" i="1" s="1"/>
  <c r="R47" i="1" s="1"/>
  <c r="T47" i="1" s="1"/>
  <c r="T98" i="1"/>
  <c r="L30" i="1"/>
  <c r="N30" i="1" s="1"/>
  <c r="P30" i="1" s="1"/>
  <c r="R30" i="1" s="1"/>
  <c r="T30" i="1" s="1"/>
  <c r="R78" i="1"/>
  <c r="T78" i="1" s="1"/>
  <c r="T90" i="1"/>
  <c r="L34" i="1"/>
  <c r="N34" i="1" s="1"/>
  <c r="P34" i="1" s="1"/>
  <c r="R34" i="1" s="1"/>
  <c r="T34" i="1" s="1"/>
  <c r="N52" i="1"/>
  <c r="P52" i="1" s="1"/>
  <c r="R52" i="1" s="1"/>
  <c r="T52" i="1" s="1"/>
  <c r="P67" i="1"/>
  <c r="R67" i="1" s="1"/>
  <c r="T67" i="1" s="1"/>
  <c r="R82" i="1"/>
  <c r="T82" i="1" s="1"/>
  <c r="T91" i="1"/>
  <c r="N53" i="1"/>
  <c r="P53" i="1" s="1"/>
  <c r="R53" i="1" s="1"/>
  <c r="T53" i="1" s="1"/>
  <c r="P68" i="1"/>
  <c r="R68" i="1" s="1"/>
  <c r="T68" i="1" s="1"/>
  <c r="R83" i="1"/>
  <c r="T83" i="1" s="1"/>
  <c r="T92" i="1"/>
  <c r="N58" i="1"/>
  <c r="P58" i="1" s="1"/>
  <c r="R58" i="1" s="1"/>
  <c r="T58" i="1" s="1"/>
  <c r="T99" i="1"/>
  <c r="L43" i="1"/>
  <c r="N43" i="1" s="1"/>
  <c r="P43" i="1" s="1"/>
  <c r="R43" i="1" s="1"/>
  <c r="T43" i="1" s="1"/>
  <c r="R79" i="1"/>
  <c r="T79" i="1" s="1"/>
  <c r="T88" i="1"/>
  <c r="L35" i="1"/>
  <c r="N35" i="1" s="1"/>
  <c r="P35" i="1" s="1"/>
  <c r="R35" i="1" s="1"/>
  <c r="T35" i="1" s="1"/>
  <c r="L36" i="1"/>
  <c r="N36" i="1" s="1"/>
  <c r="P36" i="1" s="1"/>
  <c r="R36" i="1" s="1"/>
  <c r="T36" i="1" s="1"/>
  <c r="N54" i="1"/>
  <c r="P54" i="1" s="1"/>
  <c r="R54" i="1" s="1"/>
  <c r="T54" i="1" s="1"/>
  <c r="P69" i="1"/>
  <c r="R69" i="1" s="1"/>
  <c r="T69" i="1" s="1"/>
  <c r="R84" i="1"/>
  <c r="T84" i="1" s="1"/>
  <c r="T93" i="1"/>
  <c r="L41" i="1"/>
  <c r="N41" i="1" s="1"/>
  <c r="P41" i="1" s="1"/>
  <c r="R41" i="1" s="1"/>
  <c r="T41" i="1" s="1"/>
  <c r="P62" i="1"/>
  <c r="R62" i="1" s="1"/>
  <c r="T62" i="1" s="1"/>
  <c r="L32" i="1"/>
  <c r="N32" i="1" s="1"/>
  <c r="P32" i="1" s="1"/>
  <c r="R32" i="1" s="1"/>
  <c r="T32" i="1" s="1"/>
  <c r="L45" i="1"/>
  <c r="N50" i="1"/>
  <c r="P50" i="1" s="1"/>
  <c r="R50" i="1" s="1"/>
  <c r="T50" i="1" s="1"/>
  <c r="L33" i="1"/>
  <c r="N33" i="1" s="1"/>
  <c r="P33" i="1" s="1"/>
  <c r="R33" i="1" s="1"/>
  <c r="T33" i="1" s="1"/>
  <c r="N51" i="1"/>
  <c r="P51" i="1" s="1"/>
  <c r="R51" i="1" s="1"/>
  <c r="T51" i="1" s="1"/>
  <c r="P66" i="1"/>
  <c r="R66" i="1" s="1"/>
  <c r="T66" i="1" s="1"/>
  <c r="L37" i="1"/>
  <c r="N37" i="1" s="1"/>
  <c r="P37" i="1" s="1"/>
  <c r="R37" i="1" s="1"/>
  <c r="T37" i="1" s="1"/>
  <c r="N55" i="1"/>
  <c r="P55" i="1" s="1"/>
  <c r="R55" i="1" s="1"/>
  <c r="T55" i="1" s="1"/>
  <c r="P70" i="1"/>
  <c r="R70" i="1" s="1"/>
  <c r="T70" i="1" s="1"/>
  <c r="R73" i="1"/>
  <c r="T73" i="1" s="1"/>
  <c r="R85" i="1"/>
  <c r="T85" i="1" s="1"/>
  <c r="T94" i="1"/>
  <c r="R81" i="1"/>
  <c r="T81" i="1" s="1"/>
  <c r="L38" i="1"/>
  <c r="N38" i="1" s="1"/>
  <c r="P38" i="1" s="1"/>
  <c r="R38" i="1" s="1"/>
  <c r="T38" i="1" s="1"/>
  <c r="P59" i="1"/>
  <c r="R59" i="1" s="1"/>
  <c r="T59" i="1" s="1"/>
  <c r="R74" i="1"/>
  <c r="T74" i="1" s="1"/>
  <c r="G47" i="1"/>
  <c r="F47" i="1"/>
  <c r="F38" i="1"/>
  <c r="F30" i="1"/>
  <c r="G29" i="1"/>
  <c r="I47" i="1"/>
  <c r="O30" i="1"/>
  <c r="G15" i="1"/>
  <c r="G16" i="1"/>
  <c r="G17" i="1"/>
  <c r="G18" i="1"/>
  <c r="G19" i="1"/>
  <c r="M102" i="1" l="1"/>
  <c r="E67" i="1" s="1"/>
  <c r="O102" i="1"/>
  <c r="F67" i="1" s="1"/>
  <c r="Q30" i="1"/>
  <c r="E22" i="1"/>
  <c r="G22" i="1" s="1"/>
  <c r="G20" i="1"/>
  <c r="Q102" i="1" l="1"/>
  <c r="G67" i="1" s="1"/>
  <c r="S30" i="1"/>
  <c r="F6" i="1"/>
  <c r="F7" i="1"/>
  <c r="B67" i="1"/>
  <c r="B66" i="1"/>
  <c r="B65" i="1"/>
  <c r="B64" i="1"/>
  <c r="B63" i="1"/>
  <c r="B62" i="1"/>
  <c r="B61" i="1"/>
  <c r="B60" i="1"/>
  <c r="B59" i="1"/>
  <c r="B58" i="1"/>
  <c r="B57" i="1"/>
  <c r="B56" i="1"/>
  <c r="B55" i="1"/>
  <c r="B54" i="1"/>
  <c r="B53" i="1"/>
  <c r="B52" i="1"/>
  <c r="B51" i="1"/>
  <c r="B50" i="1"/>
  <c r="B49" i="1"/>
  <c r="B48" i="1"/>
  <c r="B47" i="1"/>
  <c r="B46" i="1"/>
  <c r="B45" i="1"/>
  <c r="B28" i="1"/>
  <c r="B29" i="1"/>
  <c r="B30" i="1"/>
  <c r="B31" i="1"/>
  <c r="B32" i="1"/>
  <c r="B33" i="1"/>
  <c r="B34" i="1"/>
  <c r="B35" i="1"/>
  <c r="B36" i="1"/>
  <c r="B37" i="1"/>
  <c r="B38" i="1"/>
  <c r="B39" i="1"/>
  <c r="U30" i="1" l="1"/>
  <c r="U102" i="1" s="1"/>
  <c r="I67" i="1" s="1"/>
  <c r="S102" i="1"/>
  <c r="H67" i="1" s="1"/>
  <c r="E23" i="1" s="1"/>
  <c r="K68" i="7"/>
  <c r="K69" i="7"/>
  <c r="H68" i="7"/>
  <c r="H69" i="7"/>
  <c r="E27" i="7"/>
  <c r="K67" i="7"/>
  <c r="K62" i="7"/>
  <c r="K63" i="7"/>
  <c r="K64" i="7"/>
  <c r="K65" i="7"/>
  <c r="K66" i="7"/>
  <c r="K61" i="7"/>
  <c r="H67" i="7"/>
  <c r="H62" i="7"/>
  <c r="H63" i="7"/>
  <c r="H64" i="7"/>
  <c r="H65" i="7"/>
  <c r="H66" i="7"/>
  <c r="H61" i="7"/>
  <c r="F55" i="7"/>
  <c r="F41" i="7"/>
  <c r="G41" i="7"/>
  <c r="H41" i="7"/>
  <c r="I41" i="7"/>
  <c r="E41" i="7"/>
  <c r="I37" i="7"/>
  <c r="H37" i="7"/>
  <c r="G37" i="7"/>
  <c r="F37" i="7"/>
  <c r="E37" i="7"/>
  <c r="H12" i="7"/>
  <c r="E11" i="7"/>
  <c r="E10" i="7"/>
  <c r="E9" i="7"/>
  <c r="H8" i="7"/>
  <c r="E7" i="7"/>
  <c r="E6" i="7"/>
  <c r="G23" i="1" l="1"/>
  <c r="G6" i="1" s="1"/>
  <c r="G20" i="7"/>
  <c r="G22" i="7"/>
  <c r="G11" i="7"/>
  <c r="E8" i="7"/>
  <c r="E12" i="7"/>
  <c r="J19" i="7" l="1"/>
  <c r="J17" i="7"/>
  <c r="J7" i="7"/>
  <c r="J26" i="7"/>
  <c r="J22" i="7"/>
  <c r="G25" i="7"/>
  <c r="J9" i="7"/>
  <c r="J6" i="7"/>
  <c r="G9" i="7"/>
  <c r="J25" i="7"/>
  <c r="J20" i="7"/>
  <c r="G24" i="7"/>
  <c r="G19" i="7"/>
  <c r="J10" i="7"/>
  <c r="J24" i="7"/>
  <c r="G18" i="7"/>
  <c r="G23" i="7"/>
  <c r="J18" i="7"/>
  <c r="G10" i="7"/>
  <c r="G7" i="7"/>
  <c r="G6" i="7"/>
  <c r="J23" i="7"/>
  <c r="J11" i="7"/>
  <c r="G21" i="7"/>
  <c r="J21" i="7"/>
  <c r="E6" i="1"/>
  <c r="F8" i="7" l="1"/>
  <c r="G8" i="7" s="1"/>
  <c r="I8" i="7"/>
  <c r="J8" i="7" s="1"/>
  <c r="I12" i="7"/>
  <c r="J12" i="7" s="1"/>
  <c r="J27" i="7"/>
  <c r="G27" i="7"/>
  <c r="F12" i="7"/>
  <c r="G12" i="7" s="1"/>
  <c r="B69" i="7"/>
  <c r="B55" i="7"/>
  <c r="B54" i="7"/>
  <c r="B53" i="7"/>
  <c r="B52" i="7"/>
  <c r="B51" i="7"/>
  <c r="B50" i="7"/>
  <c r="B49" i="7"/>
  <c r="B48" i="7"/>
  <c r="B47" i="7"/>
  <c r="B46" i="7"/>
  <c r="B45" i="7"/>
  <c r="B61" i="7"/>
  <c r="B62" i="7"/>
  <c r="E119" i="5"/>
  <c r="E115" i="5"/>
  <c r="E116" i="5"/>
  <c r="E114" i="5"/>
  <c r="E111" i="5"/>
  <c r="H99" i="5"/>
  <c r="G99" i="5"/>
  <c r="F99" i="5"/>
  <c r="E99" i="5"/>
  <c r="K97" i="5"/>
  <c r="K94" i="5"/>
  <c r="I95" i="5"/>
  <c r="I96" i="5"/>
  <c r="I97" i="5"/>
  <c r="I98" i="5"/>
  <c r="I92" i="5"/>
  <c r="K91" i="5"/>
  <c r="I91" i="5"/>
  <c r="I94" i="5"/>
  <c r="I93" i="5"/>
  <c r="E86" i="5"/>
  <c r="G76" i="5" s="1"/>
  <c r="F20" i="5"/>
  <c r="F70" i="5"/>
  <c r="E20" i="5" s="1"/>
  <c r="E22" i="5" s="1"/>
  <c r="G58" i="5"/>
  <c r="F42" i="5"/>
  <c r="E42" i="5"/>
  <c r="E19" i="5" s="1"/>
  <c r="F30" i="5"/>
  <c r="E10" i="5" s="1"/>
  <c r="G10" i="5" s="1"/>
  <c r="E30" i="5"/>
  <c r="F26" i="5"/>
  <c r="G77" i="5" s="1"/>
  <c r="E26" i="5"/>
  <c r="F77" i="5" s="1"/>
  <c r="F79" i="5" s="1"/>
  <c r="E11" i="5"/>
  <c r="G11" i="5" s="1"/>
  <c r="E6" i="5"/>
  <c r="E28" i="1" s="1"/>
  <c r="L91" i="5" l="1"/>
  <c r="E117" i="5"/>
  <c r="L94" i="5"/>
  <c r="G6" i="5"/>
  <c r="E53" i="4"/>
  <c r="E56" i="4" s="1"/>
  <c r="E58" i="4" s="1"/>
  <c r="F22" i="5"/>
  <c r="E8" i="5" s="1"/>
  <c r="G8" i="5" s="1"/>
  <c r="F22" i="2"/>
  <c r="H22" i="2" s="1"/>
  <c r="F19" i="5"/>
  <c r="F21" i="2"/>
  <c r="E9" i="5"/>
  <c r="L97" i="5"/>
  <c r="I99" i="5"/>
  <c r="K93" i="5"/>
  <c r="L93" i="5" s="1"/>
  <c r="K95" i="5"/>
  <c r="L95" i="5" s="1"/>
  <c r="K96" i="5"/>
  <c r="L96" i="5" s="1"/>
  <c r="G78" i="5"/>
  <c r="E33" i="5"/>
  <c r="E7" i="5" l="1"/>
  <c r="G7" i="5" s="1"/>
  <c r="E7" i="4"/>
  <c r="K92" i="5"/>
  <c r="L92" i="5" s="1"/>
  <c r="G28" i="1"/>
  <c r="E30" i="1"/>
  <c r="H21" i="2"/>
  <c r="D9" i="9"/>
  <c r="G9" i="5"/>
  <c r="E32" i="1"/>
  <c r="G32" i="1" s="1"/>
  <c r="E10" i="4" l="1"/>
  <c r="G30" i="1"/>
  <c r="L7" i="1"/>
  <c r="H146" i="10"/>
  <c r="G146" i="10"/>
  <c r="F146" i="10"/>
  <c r="H142" i="10"/>
  <c r="G142" i="10"/>
  <c r="F142" i="10"/>
  <c r="H138" i="10"/>
  <c r="G138" i="10"/>
  <c r="F138" i="10"/>
  <c r="H134" i="10"/>
  <c r="G134" i="10"/>
  <c r="F134" i="10"/>
  <c r="H130" i="10"/>
  <c r="G130" i="10"/>
  <c r="F130" i="10"/>
  <c r="H126" i="10"/>
  <c r="G126" i="10"/>
  <c r="F126" i="10"/>
  <c r="H122" i="10"/>
  <c r="I19" i="10"/>
  <c r="I20" i="10" s="1"/>
  <c r="G19" i="10"/>
  <c r="F18" i="10"/>
  <c r="F20" i="10" s="1"/>
  <c r="G18" i="10"/>
  <c r="E19" i="10"/>
  <c r="E18" i="10"/>
  <c r="H16" i="10"/>
  <c r="J16" i="10" s="1"/>
  <c r="H15" i="10"/>
  <c r="H13" i="10"/>
  <c r="J13" i="10" s="1"/>
  <c r="H12" i="10"/>
  <c r="H10" i="10"/>
  <c r="J10" i="10" s="1"/>
  <c r="H9" i="10"/>
  <c r="J9" i="10" s="1"/>
  <c r="H7" i="10"/>
  <c r="H6" i="10"/>
  <c r="I6" i="8"/>
  <c r="I7" i="8"/>
  <c r="I8" i="8"/>
  <c r="I9" i="8"/>
  <c r="I10" i="8"/>
  <c r="I12" i="8"/>
  <c r="I13" i="8"/>
  <c r="I16" i="8"/>
  <c r="I5" i="8"/>
  <c r="G12" i="8"/>
  <c r="G13" i="8"/>
  <c r="G15" i="8"/>
  <c r="G16" i="8"/>
  <c r="G17" i="8"/>
  <c r="G18" i="8"/>
  <c r="G20" i="8"/>
  <c r="G6" i="8"/>
  <c r="G7" i="8"/>
  <c r="G8" i="8"/>
  <c r="G9" i="8"/>
  <c r="G10" i="8"/>
  <c r="G5" i="8"/>
  <c r="E11" i="8"/>
  <c r="E14" i="8" s="1"/>
  <c r="E19" i="8" s="1"/>
  <c r="F11" i="8"/>
  <c r="D11" i="8"/>
  <c r="C6" i="8"/>
  <c r="C7" i="8"/>
  <c r="C8" i="8"/>
  <c r="C5" i="8"/>
  <c r="H140" i="11"/>
  <c r="G140" i="11"/>
  <c r="F140" i="11"/>
  <c r="H136" i="11"/>
  <c r="G136" i="11"/>
  <c r="F136" i="11"/>
  <c r="H132" i="11"/>
  <c r="G132" i="11"/>
  <c r="F132" i="11"/>
  <c r="H128" i="11"/>
  <c r="G128" i="11"/>
  <c r="F128" i="11"/>
  <c r="H124" i="11"/>
  <c r="G124" i="11"/>
  <c r="F124" i="11"/>
  <c r="H120" i="11"/>
  <c r="G120" i="11"/>
  <c r="F120" i="11"/>
  <c r="G116" i="11"/>
  <c r="H116" i="11"/>
  <c r="F116" i="11"/>
  <c r="I13" i="11"/>
  <c r="I14" i="11" s="1"/>
  <c r="H7" i="11"/>
  <c r="J7" i="11" s="1"/>
  <c r="H8" i="11"/>
  <c r="J8" i="11" s="1"/>
  <c r="H9" i="11"/>
  <c r="J9" i="11" s="1"/>
  <c r="H10" i="11"/>
  <c r="J10" i="11" s="1"/>
  <c r="H11" i="11"/>
  <c r="J11" i="11" s="1"/>
  <c r="H6" i="11"/>
  <c r="J6" i="11" s="1"/>
  <c r="F13" i="11"/>
  <c r="G13" i="11"/>
  <c r="F12" i="11"/>
  <c r="G12" i="11"/>
  <c r="E13" i="11"/>
  <c r="E12" i="11"/>
  <c r="F34" i="2"/>
  <c r="H7" i="2"/>
  <c r="H8" i="2"/>
  <c r="H9" i="2"/>
  <c r="H10" i="2"/>
  <c r="H11" i="2"/>
  <c r="H13" i="2"/>
  <c r="H14" i="2"/>
  <c r="H16" i="2"/>
  <c r="H17" i="2"/>
  <c r="H18" i="2"/>
  <c r="H23" i="2"/>
  <c r="H6" i="2"/>
  <c r="G24" i="2"/>
  <c r="F34" i="1"/>
  <c r="F24" i="2"/>
  <c r="G12" i="2"/>
  <c r="G15" i="2" s="1"/>
  <c r="F19" i="2"/>
  <c r="I15" i="8" s="1"/>
  <c r="E20" i="10" l="1"/>
  <c r="F14" i="8"/>
  <c r="F19" i="8" s="1"/>
  <c r="H17" i="10"/>
  <c r="J15" i="10"/>
  <c r="H14" i="10"/>
  <c r="H18" i="10"/>
  <c r="H19" i="10"/>
  <c r="G14" i="11"/>
  <c r="F14" i="11"/>
  <c r="E14" i="11"/>
  <c r="H12" i="11"/>
  <c r="J12" i="11"/>
  <c r="J13" i="11"/>
  <c r="H13" i="11"/>
  <c r="J10" i="8"/>
  <c r="J9" i="8"/>
  <c r="J16" i="8"/>
  <c r="J15" i="8"/>
  <c r="J12" i="8"/>
  <c r="J13" i="8"/>
  <c r="G11" i="8"/>
  <c r="J8" i="8"/>
  <c r="J7" i="8"/>
  <c r="D14" i="8"/>
  <c r="J6" i="8"/>
  <c r="J5" i="8"/>
  <c r="H12" i="2"/>
  <c r="H24" i="2"/>
  <c r="E34" i="1"/>
  <c r="G34" i="1" s="1"/>
  <c r="D7" i="9"/>
  <c r="H19" i="2"/>
  <c r="F31" i="1"/>
  <c r="G20" i="2"/>
  <c r="G25" i="2" s="1"/>
  <c r="F15" i="2"/>
  <c r="I11" i="8"/>
  <c r="D10" i="9"/>
  <c r="E11" i="4"/>
  <c r="I17" i="8"/>
  <c r="J17" i="8" s="1"/>
  <c r="J12" i="10"/>
  <c r="G20" i="10"/>
  <c r="H8" i="10"/>
  <c r="J6" i="10"/>
  <c r="J7" i="10"/>
  <c r="J19" i="10" s="1"/>
  <c r="H11" i="10"/>
  <c r="E22" i="4"/>
  <c r="H14" i="11" l="1"/>
  <c r="D19" i="8"/>
  <c r="G19" i="8" s="1"/>
  <c r="G14" i="8"/>
  <c r="J18" i="10"/>
  <c r="J20" i="10" s="1"/>
  <c r="H20" i="10"/>
  <c r="F33" i="5" s="1"/>
  <c r="J14" i="11"/>
  <c r="J11" i="8"/>
  <c r="G27" i="2"/>
  <c r="E31" i="1"/>
  <c r="D6" i="9"/>
  <c r="D8" i="9" s="1"/>
  <c r="F20" i="2"/>
  <c r="I14" i="8"/>
  <c r="H15" i="2"/>
  <c r="E13" i="4"/>
  <c r="E16" i="4" s="1"/>
  <c r="E8" i="9"/>
  <c r="E12" i="9" s="1"/>
  <c r="F8" i="9"/>
  <c r="F12" i="9" s="1"/>
  <c r="G8" i="9"/>
  <c r="G12" i="9" s="1"/>
  <c r="H8" i="9"/>
  <c r="H12" i="9" s="1"/>
  <c r="H33" i="5" l="1"/>
  <c r="I33" i="5" s="1"/>
  <c r="K99" i="5"/>
  <c r="L99" i="5" s="1"/>
  <c r="D13" i="9"/>
  <c r="E13" i="5"/>
  <c r="F32" i="5"/>
  <c r="J14" i="8"/>
  <c r="H20" i="2"/>
  <c r="F25" i="2"/>
  <c r="H25" i="2" s="1"/>
  <c r="L9" i="1"/>
  <c r="G31" i="1"/>
  <c r="E12" i="5" l="1"/>
  <c r="G12" i="5" s="1"/>
  <c r="K98" i="5"/>
  <c r="L98" i="5" s="1"/>
  <c r="G13" i="5"/>
  <c r="I20" i="8"/>
  <c r="J20" i="8" s="1"/>
  <c r="E36" i="1"/>
  <c r="E6" i="4"/>
  <c r="E17" i="4" s="1"/>
  <c r="E19" i="4" s="1"/>
  <c r="B25" i="9"/>
  <c r="B24" i="9"/>
  <c r="B23" i="9"/>
  <c r="B22" i="9"/>
  <c r="B21" i="9"/>
  <c r="B20" i="9"/>
  <c r="B19" i="9"/>
  <c r="B10" i="9"/>
  <c r="B11" i="9"/>
  <c r="B12" i="9"/>
  <c r="B13" i="9"/>
  <c r="B9" i="9"/>
  <c r="B8" i="9"/>
  <c r="B7" i="9"/>
  <c r="B6" i="9"/>
  <c r="B12" i="8"/>
  <c r="B13" i="8"/>
  <c r="B14" i="8"/>
  <c r="B15" i="8"/>
  <c r="B16" i="8"/>
  <c r="B17" i="8"/>
  <c r="B18" i="8"/>
  <c r="B19" i="8"/>
  <c r="B20" i="8"/>
  <c r="B11" i="8"/>
  <c r="B10" i="8"/>
  <c r="B9" i="8"/>
  <c r="B8" i="8"/>
  <c r="B7" i="8"/>
  <c r="B6" i="8"/>
  <c r="B5" i="8"/>
  <c r="B68" i="7"/>
  <c r="B67" i="7"/>
  <c r="B66" i="7"/>
  <c r="B65" i="7"/>
  <c r="B64" i="7"/>
  <c r="B63" i="7"/>
  <c r="B18" i="7"/>
  <c r="B19" i="7"/>
  <c r="B20" i="7"/>
  <c r="B21" i="7"/>
  <c r="B22" i="7"/>
  <c r="B23" i="7"/>
  <c r="B24" i="7"/>
  <c r="B25" i="7"/>
  <c r="B26" i="7"/>
  <c r="B27" i="7"/>
  <c r="B17" i="7"/>
  <c r="B7" i="7"/>
  <c r="B8" i="7"/>
  <c r="B9" i="7"/>
  <c r="B10" i="7"/>
  <c r="B11" i="7"/>
  <c r="B12" i="7"/>
  <c r="B6" i="7"/>
  <c r="B26" i="6"/>
  <c r="B27" i="6"/>
  <c r="B28" i="6"/>
  <c r="B29" i="6"/>
  <c r="B30" i="6"/>
  <c r="B31" i="6"/>
  <c r="B32" i="6"/>
  <c r="B33" i="6"/>
  <c r="B34" i="6"/>
  <c r="B35" i="6"/>
  <c r="B36" i="6"/>
  <c r="B37" i="6"/>
  <c r="B38" i="6"/>
  <c r="B43" i="6"/>
  <c r="B25" i="6"/>
  <c r="B16" i="6"/>
  <c r="B17" i="6"/>
  <c r="B18" i="6"/>
  <c r="B19" i="6"/>
  <c r="B20" i="6"/>
  <c r="B15" i="6"/>
  <c r="B7" i="6"/>
  <c r="B8" i="6"/>
  <c r="B9" i="6"/>
  <c r="B10" i="6"/>
  <c r="B6" i="6"/>
  <c r="B114" i="5"/>
  <c r="B115" i="5"/>
  <c r="B116" i="5"/>
  <c r="B117" i="5"/>
  <c r="B118" i="5"/>
  <c r="B119" i="5"/>
  <c r="B120" i="5"/>
  <c r="B106" i="5"/>
  <c r="B107" i="5"/>
  <c r="B108" i="5"/>
  <c r="B109" i="5"/>
  <c r="B110" i="5"/>
  <c r="B111" i="5"/>
  <c r="B112" i="5"/>
  <c r="B113" i="5"/>
  <c r="B105" i="5"/>
  <c r="B98" i="5"/>
  <c r="B99" i="5"/>
  <c r="B92" i="5"/>
  <c r="B93" i="5"/>
  <c r="B94" i="5"/>
  <c r="B95" i="5"/>
  <c r="B96" i="5"/>
  <c r="B97" i="5"/>
  <c r="B91" i="5"/>
  <c r="B85" i="5"/>
  <c r="B86" i="5"/>
  <c r="B84" i="5"/>
  <c r="B76" i="5"/>
  <c r="B77" i="5"/>
  <c r="B78" i="5"/>
  <c r="B79" i="5"/>
  <c r="B75" i="5"/>
  <c r="B67" i="5"/>
  <c r="B68" i="5"/>
  <c r="B69" i="5"/>
  <c r="B70" i="5"/>
  <c r="B66" i="5"/>
  <c r="B48" i="5"/>
  <c r="B49" i="5"/>
  <c r="B50" i="5"/>
  <c r="B51" i="5"/>
  <c r="B47" i="5"/>
  <c r="B41" i="5"/>
  <c r="B42" i="5"/>
  <c r="B40" i="5"/>
  <c r="B19" i="5"/>
  <c r="B20" i="5"/>
  <c r="B21" i="5"/>
  <c r="B22" i="5"/>
  <c r="B23" i="5"/>
  <c r="B24" i="5"/>
  <c r="B25" i="5"/>
  <c r="B26" i="5"/>
  <c r="B27" i="5"/>
  <c r="B28" i="5"/>
  <c r="B29" i="5"/>
  <c r="B30" i="5"/>
  <c r="B31" i="5"/>
  <c r="B32" i="5"/>
  <c r="B33" i="5"/>
  <c r="B18" i="5"/>
  <c r="B54" i="4"/>
  <c r="B55" i="4"/>
  <c r="B56" i="4"/>
  <c r="B57" i="4"/>
  <c r="B58" i="4"/>
  <c r="B53" i="4"/>
  <c r="B46" i="4"/>
  <c r="B47" i="4"/>
  <c r="B48" i="4"/>
  <c r="B45" i="4"/>
  <c r="B35" i="4"/>
  <c r="B36" i="4"/>
  <c r="B37" i="4"/>
  <c r="B38" i="4"/>
  <c r="B39" i="4"/>
  <c r="B40" i="4"/>
  <c r="B34" i="4"/>
  <c r="B7" i="4"/>
  <c r="B8" i="4"/>
  <c r="B9" i="4"/>
  <c r="B10" i="4"/>
  <c r="B11" i="4"/>
  <c r="B12" i="4"/>
  <c r="B13" i="4"/>
  <c r="B14" i="4"/>
  <c r="B15" i="4"/>
  <c r="B16" i="4"/>
  <c r="B17" i="4"/>
  <c r="B18" i="4"/>
  <c r="B19" i="4"/>
  <c r="B20" i="4"/>
  <c r="B21" i="4"/>
  <c r="B22" i="4"/>
  <c r="B23" i="4"/>
  <c r="B6" i="4"/>
  <c r="E21" i="4" l="1"/>
  <c r="E23" i="4" s="1"/>
  <c r="E35" i="1" s="1"/>
  <c r="G36" i="1"/>
  <c r="E38" i="1"/>
  <c r="G38" i="1" s="1"/>
  <c r="E46" i="4"/>
  <c r="E47" i="4"/>
  <c r="B59" i="5"/>
  <c r="B60" i="5"/>
  <c r="B61" i="5"/>
  <c r="B62" i="5"/>
  <c r="B58" i="5"/>
  <c r="B57" i="5"/>
  <c r="B56" i="5"/>
  <c r="F26" i="2" l="1"/>
  <c r="D11" i="9" s="1"/>
  <c r="D12" i="9" s="1"/>
  <c r="G35" i="1"/>
  <c r="L8" i="1"/>
  <c r="L23" i="1" s="1"/>
  <c r="E39" i="1" s="1"/>
  <c r="G39" i="1" s="1"/>
  <c r="G7" i="1" s="1"/>
  <c r="E48" i="4"/>
  <c r="B36" i="2"/>
  <c r="B35" i="2"/>
  <c r="B34" i="2"/>
  <c r="B33" i="2"/>
  <c r="B32" i="2"/>
  <c r="H26" i="2" l="1"/>
  <c r="F27" i="2"/>
  <c r="H27" i="2" s="1"/>
  <c r="I18" i="8"/>
  <c r="J18" i="8" s="1"/>
  <c r="E7" i="1"/>
  <c r="B22" i="2"/>
  <c r="I19" i="8" l="1"/>
  <c r="J19" i="8" s="1"/>
  <c r="D16" i="13" s="1"/>
  <c r="B7" i="2"/>
  <c r="B8" i="2"/>
  <c r="B9" i="2"/>
  <c r="B10" i="2"/>
  <c r="B11" i="2"/>
  <c r="B12" i="2"/>
  <c r="B13" i="2"/>
  <c r="B14" i="2"/>
  <c r="B15" i="2"/>
  <c r="B16" i="2"/>
  <c r="B17" i="2"/>
  <c r="B18" i="2"/>
  <c r="B19" i="2"/>
  <c r="B20" i="2"/>
  <c r="B21" i="2"/>
  <c r="B23" i="2"/>
  <c r="B24" i="2"/>
  <c r="B25" i="2"/>
  <c r="B26" i="2"/>
  <c r="B27" i="2"/>
  <c r="B6" i="2"/>
  <c r="B84" i="1"/>
  <c r="B83" i="1"/>
  <c r="B77" i="1"/>
  <c r="B76" i="1"/>
  <c r="B75" i="1"/>
  <c r="B74" i="1"/>
  <c r="B73" i="1"/>
  <c r="B72" i="1"/>
  <c r="B23" i="1"/>
  <c r="B22" i="1"/>
  <c r="B21" i="1"/>
  <c r="B20" i="1"/>
  <c r="B19" i="1"/>
  <c r="B18" i="1"/>
  <c r="B17" i="1"/>
  <c r="B16" i="1"/>
  <c r="B15" i="1"/>
  <c r="B14" i="1"/>
  <c r="B13" i="1"/>
  <c r="B12" i="1"/>
  <c r="B7" i="1"/>
  <c r="B6"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python.xml><?xml version="1.0" encoding="utf-8"?>
<python xmlns="http://schemas.microsoft.com/office/spreadsheetml/2023/python">
  <environmentDefinition id="{882DD1B0-6546-4DFA-8A08-902A380B44EA}">
    <initialization>
      <code xml:space="preserve">import numpy as np
import pandas as pd
import matplotlib.pyplot as plt
import seaborn as sns
import statsmodels as sm
import excel
import warnings
warnings.simplefilter('ignore')
excel.set_xl_scalar_conversion(excel.convert_to_scalar)
excel.set_xl_array_conversion(excel.convert_to_dataframe)
</code>
    </initialization>
  </environmentDefinition>
</python>
</file>

<file path=xl/sharedStrings.xml><?xml version="1.0" encoding="utf-8"?>
<sst xmlns="http://schemas.openxmlformats.org/spreadsheetml/2006/main" count="2919" uniqueCount="757">
  <si>
    <t xml:space="preserve"> </t>
  </si>
  <si>
    <t>Airport Services Information Disclosure Requirements</t>
  </si>
  <si>
    <t>Information Templates</t>
  </si>
  <si>
    <t>for</t>
  </si>
  <si>
    <t>Schedules 1–17, 25</t>
  </si>
  <si>
    <t>Company Name</t>
  </si>
  <si>
    <t>[select name of the airport]</t>
  </si>
  <si>
    <t>Disclosure Date</t>
  </si>
  <si>
    <t>Disclosure Year (year ended)</t>
  </si>
  <si>
    <t xml:space="preserve">Pricing period starting year (year ended) </t>
  </si>
  <si>
    <t>Internal consistency check</t>
  </si>
  <si>
    <t>Templates for schedules 1–17, 25 (Annual Disclosure)</t>
  </si>
  <si>
    <t>Table of Contents</t>
  </si>
  <si>
    <t>Schedule</t>
  </si>
  <si>
    <t>Schedule name</t>
  </si>
  <si>
    <t>Sheet name</t>
  </si>
  <si>
    <t>REPORT ON PROFITABILITY</t>
  </si>
  <si>
    <t>S1.Profitability</t>
  </si>
  <si>
    <t>REPORT ON THE REGULATORY PROFIT</t>
  </si>
  <si>
    <t>S2.Regulatory Profit</t>
  </si>
  <si>
    <t>REPORT ON THE REGULATORY TAX ALLOWANCE</t>
  </si>
  <si>
    <t>S3.Tax Allowance</t>
  </si>
  <si>
    <t>REPORT ON REGULATORY ASSET BASE ROLL FORWARD</t>
  </si>
  <si>
    <t>S4.RAB Roll-Forward</t>
  </si>
  <si>
    <t>REPORT ON RELATED PARTY TRANSACTIONS</t>
  </si>
  <si>
    <t>S5.Related Party Transactions</t>
  </si>
  <si>
    <t>REPORT ON ACTUAL TO FORECAST PERFORMANCE</t>
  </si>
  <si>
    <t>S6.Actual to Forecast</t>
  </si>
  <si>
    <t>REPORT ON SEGMENTED INFORMATION</t>
  </si>
  <si>
    <t>S7.Segmented Information</t>
  </si>
  <si>
    <t>CONSOLIDATION STATEMENT</t>
  </si>
  <si>
    <t>S8.Consolidation Statement</t>
  </si>
  <si>
    <t>REPORT ON ASSET ALLOCATIONS</t>
  </si>
  <si>
    <t>S9.Asset Allocation</t>
  </si>
  <si>
    <t>REPORT ON COST ALLOCATIONS</t>
  </si>
  <si>
    <t>S10.Cost Allocation</t>
  </si>
  <si>
    <t>REPORT ON RELIABILITY MEASURES</t>
  </si>
  <si>
    <t>S11.Reliability</t>
  </si>
  <si>
    <t>REPORT ON CAPACITY UTILISATION INDICATORS FOR AIRCRAFT AND FREIGHT ACTIVITIES AND AIRFIELD ACTIVITIES</t>
  </si>
  <si>
    <t>S12.Airfield Cap &amp; Utilisation</t>
  </si>
  <si>
    <t>REPORT ON CAPACITY UTILISATION INDICATORS FOR SPECIFIED PASSENGER TERMINAL ACTIVITIES</t>
  </si>
  <si>
    <t>S13.Terminal Cap &amp; Utilisation</t>
  </si>
  <si>
    <t>REPORT ON PASSENGER SATISFACTION INDICATORS</t>
  </si>
  <si>
    <t>S14.Passenger Surveys</t>
  </si>
  <si>
    <t>REPORT ON OPERATIONAL IMPROVEMENT PROCESSES</t>
  </si>
  <si>
    <t>S15.Forum</t>
  </si>
  <si>
    <t>S16.Statistics</t>
  </si>
  <si>
    <t>REPORT ON PRICING STATISTICS</t>
  </si>
  <si>
    <t>S17.Pricing Stats</t>
  </si>
  <si>
    <t>TRANSITIONAL REPORT ON REGULATORY ASSET BASE VALUE FOR LAND</t>
  </si>
  <si>
    <t>S25.Transitional Initial RAB</t>
  </si>
  <si>
    <t>COMMENTARY</t>
  </si>
  <si>
    <t>Commentary</t>
  </si>
  <si>
    <t xml:space="preserve">Disclosure Template Guidelines for Information Entry </t>
  </si>
  <si>
    <t xml:space="preserve">The templates contained in this workbook are intended to reflect the specified airport disclosure requirements set out in Schedules 1–17 inclusive and Schedule 25 of Commerce Commission decision 715 (Commerce Act (Specified Airport Services Information Disclosure) Determination 2010). </t>
  </si>
  <si>
    <t>Company Name and Dates</t>
  </si>
  <si>
    <t>Dates should be entered in day, month, year order (Example: "30 November 2026").</t>
  </si>
  <si>
    <t>Data Entry Cells and Calculated Cells</t>
  </si>
  <si>
    <t>Data entered into this workbook may be entered only into the data entry cells inside excel table objects. Data entry cells are the bordered, shaded areas (light yellow cells) in each Schedule. Under no circumstances should data be entered into the workbook outside a data entry cell.</t>
  </si>
  <si>
    <t>In some cases, where the information for disclosure is able to be ascertained from disclosures elsewhere in the workbook, such information is disclosed in a calculated cell. Under no circumstances should the formulas in a calculated cell be overwritten. All cells that are not data entry cells may be locked using worksheet protection to ensure they are not overwritten.</t>
  </si>
  <si>
    <t>Validation Settings on Data Entry Cells</t>
  </si>
  <si>
    <t>To maintain a consistency of format and to help guard against errors in data entry, some data entry cells test keyboard entries for validity and accept only a limited range of values. For example, entries may be limited to a list of category names, to values between 0% and 100%, or either a numeric entry or the text entry “N/A”.  These checks are applied to keyboard entries only and not, for example, to entries made using Excel’s copy and paste facility.</t>
  </si>
  <si>
    <t>Internal Consistency Checks</t>
  </si>
  <si>
    <t>Inserting Additional Rows and Columns</t>
  </si>
  <si>
    <t>The templates for some Schedules may require additional rows to be inserted in tables marked 'include additional rows if needed' or similar. When inserting rows do so from within the table and the 'Row" column should prepopulate with the row number.</t>
  </si>
  <si>
    <t>Additional rows must not be inserted directly above the first row or below the last row of a table. This is to ensure that entries made in the new row are included in the totals. 
Please note that Column A is hidden by default in all tabs. This column contains table section information used for data processing. If you choose to unhide it, you may need to manually adjust the column width to make the text visible.</t>
  </si>
  <si>
    <t>Schedule 6 Comparison of Actual and Forecast Expenditures</t>
  </si>
  <si>
    <t>Schedule References</t>
  </si>
  <si>
    <t>The column labelled "Row "of each table can be used to reference individual rows of the schedule. It may be useful to refer to this row number when writing explanatory notes about a specific data point.</t>
  </si>
  <si>
    <t>Suggested File Naming</t>
  </si>
  <si>
    <t>For better consistency and improved data management, we recommend that filenames follow the format below:</t>
  </si>
  <si>
    <t>{provider}_Airport_ID_annual_DY{xx}_{ddmmyyyy}.xlsx</t>
  </si>
  <si>
    <t>where the {provider} code should be "AKL" for Auckland Airport, "CHCH" for Christchurch Airport, and "WLG" for Wellington Airport.</t>
  </si>
  <si>
    <t>Example: For an Auckland Airport ID submission for Disclosure Year 2026, with a disclosure date of 30 November 2026, the filename should be "AKL_Airport_ID_annual_DY26_30112026.xlsx".</t>
  </si>
  <si>
    <t>Cell colouring</t>
  </si>
  <si>
    <t>1. Light yellow: Data entry</t>
  </si>
  <si>
    <t xml:space="preserve">2. Light grey: Formula </t>
  </si>
  <si>
    <t>3. Dark grey: Blank/ empty columns</t>
  </si>
  <si>
    <t>SCHEDULE 1: REPORT ON PROFITABILITY</t>
  </si>
  <si>
    <t>1a: Internal Rates of Return</t>
  </si>
  <si>
    <t>Section</t>
  </si>
  <si>
    <t>Row</t>
  </si>
  <si>
    <t>Context</t>
  </si>
  <si>
    <t>Category1</t>
  </si>
  <si>
    <t>Actual for Current Disclosure Year</t>
  </si>
  <si>
    <t>Forecast for Current Disclosure Year</t>
  </si>
  <si>
    <t>Variance</t>
  </si>
  <si>
    <t>Calculation - Current Year Annual IRR</t>
  </si>
  <si>
    <t>1a: Internal rates of return</t>
  </si>
  <si>
    <t>Post-tax IRR - pricing period to date (%)</t>
  </si>
  <si>
    <t>Date</t>
  </si>
  <si>
    <t>Cash flow</t>
  </si>
  <si>
    <t>Post-tax IRR - current year (%)</t>
  </si>
  <si>
    <t>1a(i): Pricing Period to Date IRR</t>
  </si>
  <si>
    <t>Actual for Period to Date | ($000 unless otherwise specified)</t>
  </si>
  <si>
    <t>Forecast for Period to Date | ($000 unless otherwise specified)</t>
  </si>
  <si>
    <t>Variance | ($000 unless otherwise specified)</t>
  </si>
  <si>
    <t>Opening RAB</t>
  </si>
  <si>
    <t>Opening carry forward adjustment</t>
  </si>
  <si>
    <t>Opening investment value</t>
  </si>
  <si>
    <t>plus</t>
  </si>
  <si>
    <t>Total regulatory income</t>
  </si>
  <si>
    <t>less</t>
  </si>
  <si>
    <t>Assets commissioned</t>
  </si>
  <si>
    <t>Asset disposals</t>
  </si>
  <si>
    <t xml:space="preserve">Operational expenditure </t>
  </si>
  <si>
    <t>Unlevered tax</t>
  </si>
  <si>
    <t>RAB value</t>
  </si>
  <si>
    <t>Closing carry forward adjustment</t>
  </si>
  <si>
    <t>Closing investment value</t>
  </si>
  <si>
    <t>Post-tax IRR for pricing period to date (%)</t>
  </si>
  <si>
    <t xml:space="preserve">Post-tax IRR </t>
  </si>
  <si>
    <t>1a(ii): Current Year Annual IRR</t>
  </si>
  <si>
    <t>Actual for Current Disclosure Year | ($000 unless otherwise specified)</t>
  </si>
  <si>
    <t>Forecast for Current Disclosure Year | ($000 unless otherwise specified)</t>
  </si>
  <si>
    <t xml:space="preserve">Calculation - Period to date IRR </t>
  </si>
  <si>
    <t>Post-tax IRR for current year (%)</t>
  </si>
  <si>
    <r>
      <t xml:space="preserve">Go to Commentary tab: </t>
    </r>
    <r>
      <rPr>
        <i/>
        <sz val="10"/>
        <color theme="1"/>
        <rFont val="Calibri"/>
        <family val="2"/>
        <scheme val="minor"/>
      </rPr>
      <t>Explanation of variances</t>
    </r>
  </si>
  <si>
    <t>1b: Actual IRR inputs</t>
  </si>
  <si>
    <t>Pricing Period Starting Year</t>
  </si>
  <si>
    <t>Pricing Period Starting Year + 1</t>
  </si>
  <si>
    <t>Pricing Period Starting Year + 2</t>
  </si>
  <si>
    <t>Pricing Period Starting Year + 3</t>
  </si>
  <si>
    <t>Pricing Period Starting Year + 4</t>
  </si>
  <si>
    <t>Assets commissioned - 1st month</t>
  </si>
  <si>
    <t>Assets commissioned - 2nd month</t>
  </si>
  <si>
    <t>Assets commissioned - 3rd month</t>
  </si>
  <si>
    <t>Assets commissioned - 4th month</t>
  </si>
  <si>
    <t>Assets commissioned - 5th month</t>
  </si>
  <si>
    <t>Assets commissioned - 6th month</t>
  </si>
  <si>
    <t>Assets commissioned - 7th month</t>
  </si>
  <si>
    <t>Assets commissioned - 8th month</t>
  </si>
  <si>
    <t>Assets commissioned - 9th month</t>
  </si>
  <si>
    <t>Assets commissioned - 10th month</t>
  </si>
  <si>
    <t>Assets commissioned - 11th month</t>
  </si>
  <si>
    <t>Assets commissioned - 12th month</t>
  </si>
  <si>
    <t>1c: Carry forward balance</t>
  </si>
  <si>
    <t>Actual</t>
  </si>
  <si>
    <t xml:space="preserve">Forecast </t>
  </si>
  <si>
    <t xml:space="preserve">Default revaluation gain/loss adjustment </t>
  </si>
  <si>
    <t>Risk allocation adjustment</t>
  </si>
  <si>
    <t>Other carry forward adjustment – forecast</t>
  </si>
  <si>
    <t>Other carry forward adjustment – not forecast</t>
  </si>
  <si>
    <t>Go to Commentary tab: Commentary on Carry forward balance</t>
  </si>
  <si>
    <t>1d: Cash flow timing assumptions</t>
  </si>
  <si>
    <t>Forecast cash flow timing assumption</t>
  </si>
  <si>
    <t>Cash flow timing - revenues  - days from year end</t>
  </si>
  <si>
    <t>Cash flow timing - expenditure  - days from year end</t>
  </si>
  <si>
    <t>Post-tax IRR - period to date</t>
  </si>
  <si>
    <t>SCHEDULE 2: REPORT ON THE REGULATORY PROFIT</t>
  </si>
  <si>
    <t>2a: Regulatory Profit</t>
  </si>
  <si>
    <t>Category2</t>
  </si>
  <si>
    <t>Actual | ($000 unless otherwise specified)</t>
  </si>
  <si>
    <t>Forecast | ($000 unless otherwise specified)</t>
  </si>
  <si>
    <t>Variance| ($000 unless otherwise specified)</t>
  </si>
  <si>
    <t>Income</t>
  </si>
  <si>
    <t>[Airport activity charge 1]</t>
  </si>
  <si>
    <t>[Airport activity charge 2]</t>
  </si>
  <si>
    <t>[Airport activity charge 3]</t>
  </si>
  <si>
    <t>[Airport activity charge 4]</t>
  </si>
  <si>
    <t>Lease, rental and concession income</t>
  </si>
  <si>
    <t>Other operating revenue</t>
  </si>
  <si>
    <t>Net operating revenue</t>
  </si>
  <si>
    <t>Gains / (losses) on sale of assets</t>
  </si>
  <si>
    <t>Other income</t>
  </si>
  <si>
    <t>Expenses</t>
  </si>
  <si>
    <t>Corporate overheads</t>
  </si>
  <si>
    <t>Asset management and airport operations</t>
  </si>
  <si>
    <t>Asset maintenance</t>
  </si>
  <si>
    <t>Total operational expenditure</t>
  </si>
  <si>
    <t>Operating surplus / (deficit)</t>
  </si>
  <si>
    <t>Regulatory depreciation</t>
  </si>
  <si>
    <t>Indexed revaluation</t>
  </si>
  <si>
    <t>Periodic land revaluations</t>
  </si>
  <si>
    <t>Total revaluations</t>
  </si>
  <si>
    <t>Regulatory Profit / (Loss) before tax</t>
  </si>
  <si>
    <t>Regulatory tax allowance</t>
  </si>
  <si>
    <t xml:space="preserve">Regulatory Profit / (Loss) </t>
  </si>
  <si>
    <t>2b: Notes to the Report</t>
  </si>
  <si>
    <t>($000)</t>
  </si>
  <si>
    <t>2b(i): Financial Incentives</t>
  </si>
  <si>
    <t>Pricing incentives</t>
  </si>
  <si>
    <t>Other incentives</t>
  </si>
  <si>
    <t>Total financial incentives</t>
  </si>
  <si>
    <t>2b(ii): Rates and Levy Costs</t>
  </si>
  <si>
    <t>Rates and levy costs</t>
  </si>
  <si>
    <t>2b(iii): Merger and Acquisition Expenses</t>
  </si>
  <si>
    <t>Merger and acquisition expenses</t>
  </si>
  <si>
    <t>Go to commentary tab: Justification for Merger and Acquisition Expenses</t>
  </si>
  <si>
    <t>SCHEDULE 3: REPORT ON THE REGULATORY TAX ALLOWANCE</t>
  </si>
  <si>
    <t>3a: Regulatory Tax Allowance</t>
  </si>
  <si>
    <t>($000 unless otherwise specified)</t>
  </si>
  <si>
    <t>Regulatory profit / (loss) before tax</t>
  </si>
  <si>
    <t>Other permanent differences—not deductible</t>
  </si>
  <si>
    <t>* Workings to be provided</t>
  </si>
  <si>
    <t>Other temporary adjustments—current period</t>
  </si>
  <si>
    <t>Positive adjustments for profit</t>
  </si>
  <si>
    <t>Tax depreciation</t>
  </si>
  <si>
    <t>Notional deductible interest</t>
  </si>
  <si>
    <t>Other permanent differences—non taxable</t>
  </si>
  <si>
    <t>Other temporary adjustments—prior period</t>
  </si>
  <si>
    <t>Negative adjustments for profit</t>
  </si>
  <si>
    <t xml:space="preserve">Regulatory taxable income (loss) </t>
  </si>
  <si>
    <t>Tax losses used</t>
  </si>
  <si>
    <t>Net taxable income</t>
  </si>
  <si>
    <t>Statutory tax rate (%)</t>
  </si>
  <si>
    <t>Notional interest tax shield</t>
  </si>
  <si>
    <t>Unlevered tax†</t>
  </si>
  <si>
    <t>†  Unleverd tax has being corrected to be Regulatory tax allowance plus the Notional interest tax shield.</t>
  </si>
  <si>
    <t>3b: Notes to the Report</t>
  </si>
  <si>
    <t>3b(i): Disclosure of Permanent Differences and Temporary Adjustments</t>
  </si>
  <si>
    <t>Go to Commentary tab: The Airport Business is to provide descriptions and workings of items recorded in the four "other" categories above (explanatory notes can be provided in a separate note if necessary).</t>
  </si>
  <si>
    <t>3b(ii): Tax Depreciation Roll-Forward</t>
  </si>
  <si>
    <t>Opening RAB (Tax Value)</t>
  </si>
  <si>
    <t>Regulatory tax asset value of additions</t>
  </si>
  <si>
    <t>Regulatory tax asset value of disposals</t>
  </si>
  <si>
    <t>Regulatory tax asset value of assets transferred from/(to) unregulated asset base</t>
  </si>
  <si>
    <t>Other adjustments to the RAB tax value</t>
  </si>
  <si>
    <t xml:space="preserve">Closing RAB (tax value) </t>
  </si>
  <si>
    <t>3b(iii): Reconciliation of Tax Losses (Airport Business)</t>
  </si>
  <si>
    <t>Tax losses (regulated business)—prior period</t>
  </si>
  <si>
    <t xml:space="preserve">Current year tax losses </t>
  </si>
  <si>
    <t xml:space="preserve">Tax losses used </t>
  </si>
  <si>
    <t>Tax losses (regulated business)</t>
  </si>
  <si>
    <t>3b(iv): Deductible Interest and Interest Tax Shield</t>
  </si>
  <si>
    <t>RAB value - previous year</t>
  </si>
  <si>
    <t>Debt leverage assumption (%)</t>
  </si>
  <si>
    <t>Cost of debt assumption (%)</t>
  </si>
  <si>
    <t>Tax rate (%)</t>
  </si>
  <si>
    <t>SCHEDULE 4: REPORT ON REGULATORY ASSET BASE ROLL FORWARD</t>
  </si>
  <si>
    <t>4a: Regulatory Asset Base Roll Forward</t>
  </si>
  <si>
    <t>Actual ($000)</t>
  </si>
  <si>
    <t>Forecast ($000)</t>
  </si>
  <si>
    <t>Variance ($000)</t>
  </si>
  <si>
    <t>RAB value—previous disclosure year</t>
  </si>
  <si>
    <t>Assets Commissioned</t>
  </si>
  <si>
    <t>Lost and found assets adjustment</t>
  </si>
  <si>
    <t>Adjustment resulting from cost allocation</t>
  </si>
  <si>
    <t>RAB value †</t>
  </si>
  <si>
    <t>†  RAB to correspond with the total assets value disclosed in schedule 9 Asset Allocations.</t>
  </si>
  <si>
    <t>4a: Regulatory Asset Base Roll Forward - Components</t>
  </si>
  <si>
    <t>Unallocated RAB * ($000)</t>
  </si>
  <si>
    <t>RAB ($000)</t>
  </si>
  <si>
    <t>Indexed revaluations</t>
  </si>
  <si>
    <t>Assets commissioned (other than below)</t>
  </si>
  <si>
    <t>Assets acquired from a regulated supplier</t>
  </si>
  <si>
    <t>Assets acquired from a related party</t>
  </si>
  <si>
    <t xml:space="preserve">Assets commissioned  </t>
  </si>
  <si>
    <t xml:space="preserve">less </t>
  </si>
  <si>
    <t>Asset disposals (other)</t>
  </si>
  <si>
    <t>Asset disposals to a regulated supplier</t>
  </si>
  <si>
    <t>Asset disposals to a related party</t>
  </si>
  <si>
    <t>Schedule 9 value</t>
  </si>
  <si>
    <t>Agrees with Schedule 9 value</t>
  </si>
  <si>
    <t xml:space="preserve">*  The 'unallocated RAB' is the total value of those assets used wholly or partially to provide specified services without any allowance being made for the allocation of costs to non-specified services.  The RAB value represents the value of these assets after applying this cost allocation.  Neither value includes land held for future use or works under construction. </t>
  </si>
  <si>
    <t>4b: Notes to the Report</t>
  </si>
  <si>
    <t>4b(i): Regulatory Depreciation</t>
  </si>
  <si>
    <t>Unallocated RAB ($000)</t>
  </si>
  <si>
    <t>Standard depreciation</t>
  </si>
  <si>
    <t>Non-standard depreciation</t>
  </si>
  <si>
    <t xml:space="preserve"> 4b(ii): Non-Standard Depreciation Disclosure</t>
  </si>
  <si>
    <t>Category1 | Non-standard Depreciation Methodology</t>
  </si>
  <si>
    <t xml:space="preserve">Depreciation charge for the period (RAB) | ($000 unless otherwise specified) </t>
  </si>
  <si>
    <t xml:space="preserve">Year change made
(year ended) | ($000 unless otherwise specified) </t>
  </si>
  <si>
    <t xml:space="preserve">RAB value under 'non-standard' depreciation | ($000 unless otherwise specified) </t>
  </si>
  <si>
    <t xml:space="preserve">RAB value under 'standard' depreciation | ($000 unless otherwise specified) </t>
  </si>
  <si>
    <t>4b(iii): Calculation of Revaluation Rate and Indexed Revaluation of Fixed Assets</t>
  </si>
  <si>
    <t>Category3 | Units</t>
  </si>
  <si>
    <t xml:space="preserve">Revaluations </t>
  </si>
  <si>
    <t>CPI at CPI reference date—previous year (index value)</t>
  </si>
  <si>
    <t>index</t>
  </si>
  <si>
    <t>CPI at CPI reference date—current year (index value)</t>
  </si>
  <si>
    <t>Revaluation rate (%)</t>
  </si>
  <si>
    <t>proportion</t>
  </si>
  <si>
    <t>Asset category revaluation rates</t>
  </si>
  <si>
    <t xml:space="preserve">Land </t>
  </si>
  <si>
    <t>Sealed Surfaces</t>
  </si>
  <si>
    <t xml:space="preserve">Infrastructure and buildings </t>
  </si>
  <si>
    <t>Vehicles, plant and equipment</t>
  </si>
  <si>
    <t>Unallocated RAB ($000 unless otherwise specified)</t>
  </si>
  <si>
    <t>RAB ($000 unless otherwise specified)</t>
  </si>
  <si>
    <t xml:space="preserve">Indexed revaluation </t>
  </si>
  <si>
    <t>4b(iv): Works Under Construction</t>
  </si>
  <si>
    <t>Unallocated works under construction</t>
  </si>
  <si>
    <t>Allocated works under construction</t>
  </si>
  <si>
    <t>Works under construction—previous disclosure year</t>
  </si>
  <si>
    <t>Works under construction</t>
  </si>
  <si>
    <t>Capital expenditure</t>
  </si>
  <si>
    <t>Asset commissioned</t>
  </si>
  <si>
    <t>4b(v): Capital Expenditure by Primary Purpose</t>
  </si>
  <si>
    <t>RAB</t>
  </si>
  <si>
    <t>Capacity growth</t>
  </si>
  <si>
    <t>Asset replacement and renewal</t>
  </si>
  <si>
    <t>Total capital expenditure</t>
  </si>
  <si>
    <t>4b(vi): Asset Classes</t>
  </si>
  <si>
    <t>Test for  Total column conditional formatting</t>
  </si>
  <si>
    <t>Land</t>
  </si>
  <si>
    <t>Infrastructure &amp; Buildings</t>
  </si>
  <si>
    <t>Vehicles, Plant &amp; Equipment</t>
  </si>
  <si>
    <t>Total *</t>
  </si>
  <si>
    <t>Disclosed Value</t>
  </si>
  <si>
    <t>Agrees with Disclosed Value</t>
  </si>
  <si>
    <t>* Corresponds to values in RAB roll forward calculation.</t>
  </si>
  <si>
    <t>4b(vii): Assets Held for Future Use</t>
  </si>
  <si>
    <t>Assets held for future use opening cost—previous year</t>
  </si>
  <si>
    <t>Holding costs</t>
  </si>
  <si>
    <t>Assets held for future use net revenue</t>
  </si>
  <si>
    <t>Assets held for future use additions</t>
  </si>
  <si>
    <t>Assets held for future use disposals</t>
  </si>
  <si>
    <t>Transfers to works under construction</t>
  </si>
  <si>
    <t>Assets held for future use closing cost</t>
  </si>
  <si>
    <t>Opening base value</t>
  </si>
  <si>
    <t xml:space="preserve">Assets held for future use revaluations </t>
  </si>
  <si>
    <t>Closing base value</t>
  </si>
  <si>
    <t>Opening tracking revaluations</t>
  </si>
  <si>
    <t>Tracking revaluations</t>
  </si>
  <si>
    <t>Highest rate of finance applied (%)</t>
  </si>
  <si>
    <t>SCHEDULE 5: REPORT ON RELATED PARTY TRANSACTIONS</t>
  </si>
  <si>
    <t>5(i): Related Party Transactions</t>
  </si>
  <si>
    <t>Operational expenditure</t>
  </si>
  <si>
    <t>Related party capital expenditure</t>
  </si>
  <si>
    <t>Market value of asset disposals</t>
  </si>
  <si>
    <t>Other related party transactions</t>
  </si>
  <si>
    <t>5(ii): Entities Involved in Related Party Transactions</t>
  </si>
  <si>
    <t>Category1 | Entity Name</t>
  </si>
  <si>
    <t>Related Party Relationship</t>
  </si>
  <si>
    <t>5(iii): Related Party Transactions</t>
  </si>
  <si>
    <t>Description of Transaction</t>
  </si>
  <si>
    <t>Average Unit Price
($)</t>
  </si>
  <si>
    <t>Value
($000)</t>
  </si>
  <si>
    <t>Go to Commentary tab: Commentary on Related Party Transactions</t>
  </si>
  <si>
    <t>SCHEDULE 6: REPORT ON ACTUAL TO FORECAST PERFORMANCE</t>
  </si>
  <si>
    <t>6a: Actual to Forecast Expenditure - Expenditure by Category</t>
  </si>
  <si>
    <t>Actual for Current Disclosure Year (a)</t>
  </si>
  <si>
    <t>Forecast for Current Disclosure Year* (b)</t>
  </si>
  <si>
    <t>% Variance (a)/(b)-1</t>
  </si>
  <si>
    <t>Actual for Period to Date (c)</t>
  </si>
  <si>
    <t>Forecast for Period to Date* (d)</t>
  </si>
  <si>
    <t>($000) | % Variance (c)/(d)-1</t>
  </si>
  <si>
    <t>6a: Actual to Forecast Expenditure - Key Capital Expenditure Projects</t>
  </si>
  <si>
    <t>Key Capital Expenditure Projects</t>
  </si>
  <si>
    <t>[Project 1]</t>
  </si>
  <si>
    <t>[Project 2]</t>
  </si>
  <si>
    <t>[Project 3]</t>
  </si>
  <si>
    <t>[Project 4]</t>
  </si>
  <si>
    <t>[Project 5]</t>
  </si>
  <si>
    <t>[Project 6]</t>
  </si>
  <si>
    <t>[Project 7]</t>
  </si>
  <si>
    <t>[Project 8]</t>
  </si>
  <si>
    <t>[Project 9]</t>
  </si>
  <si>
    <t>Corresponding pricing period disclosure year (from 6b) and column number</t>
  </si>
  <si>
    <t>Other capital expenditure</t>
  </si>
  <si>
    <t>Go to Commentary tab: Explanation of Variances (Airport businesses are to provide explanations of material variances between actual and forecast expenditure.)</t>
  </si>
  <si>
    <t>6b: Forecast Expenditure - Expenditure by Category</t>
  </si>
  <si>
    <t>From most recent disclosure following a price setting event</t>
  </si>
  <si>
    <t>Forecast capital expenditure</t>
  </si>
  <si>
    <t>Total forecast capital expenditure</t>
  </si>
  <si>
    <t>Forecast operational expenditure</t>
  </si>
  <si>
    <t>Total forecast operational expenditure</t>
  </si>
  <si>
    <t>6b: Forecast Expenditure - Key Capital Expenditure Projects</t>
  </si>
  <si>
    <t>*include additional rows inside of the table for more projects if needed</t>
  </si>
  <si>
    <t>6c: Actual to Forecast Adjustments - Items Identified in Price Setting Events</t>
  </si>
  <si>
    <t>Units used</t>
  </si>
  <si>
    <t>% Variance (c)/(d)-1</t>
  </si>
  <si>
    <t>Estimated present value of the proposed risk allocation adjustment ($000)</t>
  </si>
  <si>
    <t>Proposed risk allocation adjustment</t>
  </si>
  <si>
    <t>[Proposed adjustment 1]</t>
  </si>
  <si>
    <t>[Proposed adjustment 2]</t>
  </si>
  <si>
    <t>[Proposed adjustment 3]</t>
  </si>
  <si>
    <t>[Proposed adjustment 4]</t>
  </si>
  <si>
    <t>[Proposed adjustment 5]</t>
  </si>
  <si>
    <t>[Proposed adjustment 6]</t>
  </si>
  <si>
    <t>[Proposed adjustment 7]</t>
  </si>
  <si>
    <t>[Proposed adjustment 8]</t>
  </si>
  <si>
    <t>[Proposed adjustment 9]</t>
  </si>
  <si>
    <t>Total proposed risk allocation adjustments</t>
  </si>
  <si>
    <t>* Disclosure year Pricing Period Starting Year .</t>
  </si>
  <si>
    <t>Go to Commentary tab: Airport Companies must provide a brief explanation of how the airport produced its estimated present value for each risk allocation adjustment specified in Section 6c.</t>
  </si>
  <si>
    <t>Airport Companies must provide a brief explanation of how the airport produced its estimated present value for each risk allocation adjustment specified in section 6c.</t>
  </si>
  <si>
    <t>SCHEDULE 7: REPORT ON SEGMENTED INFORMATION</t>
  </si>
  <si>
    <t>Test for conditional formatting</t>
  </si>
  <si>
    <t>Specified Passenger Terminal Activities</t>
  </si>
  <si>
    <t>Airfield Activities</t>
  </si>
  <si>
    <t xml:space="preserve">Aircraft and Freight Activities </t>
  </si>
  <si>
    <t xml:space="preserve"> Airport Business*|($000)</t>
  </si>
  <si>
    <t>7: Report on segmented information</t>
  </si>
  <si>
    <t>Gains / (losses) on asset sales</t>
  </si>
  <si>
    <t xml:space="preserve">Regulatory profit/ loss </t>
  </si>
  <si>
    <t>* Corresponds to values reported in the Report on Regulatory Profit and the Report on Return on Investment.</t>
  </si>
  <si>
    <t>Go to Commentary tab: Commentary on Segmented Information</t>
  </si>
  <si>
    <t>SCHEDULE 8: CONSOLIDATION STATEMENT</t>
  </si>
  <si>
    <t>8a: Consolidation statement</t>
  </si>
  <si>
    <t>Airport Businesses</t>
  </si>
  <si>
    <t>Regulatory/
GAAP Adjustments</t>
  </si>
  <si>
    <t>Airport Business–
GAAP</t>
  </si>
  <si>
    <t>Unregulated Activities–
GAAP</t>
  </si>
  <si>
    <t>Airport Company–
GAAP | ($000)</t>
  </si>
  <si>
    <t>Net income</t>
  </si>
  <si>
    <t>Operating surplus / (deficit) before interest, depreciation, revaluations and tax</t>
  </si>
  <si>
    <t>Depreciation</t>
  </si>
  <si>
    <t>Revaluations</t>
  </si>
  <si>
    <t>Tax expense</t>
  </si>
  <si>
    <t xml:space="preserve">Net operating surplus / (deficit) before interest </t>
  </si>
  <si>
    <t xml:space="preserve">Property plant and equipment </t>
  </si>
  <si>
    <t>8b: Notes To Consolidation Statement</t>
  </si>
  <si>
    <t>8b(i): Regulatory / GAAP Adjustment</t>
  </si>
  <si>
    <t>Category1 | Description of Regulatory / GAAP Adjustment</t>
  </si>
  <si>
    <t>Affected Line Item</t>
  </si>
  <si>
    <t>Regulatory / GAAP Adjustments * | ($000)</t>
  </si>
  <si>
    <t>[Select one]</t>
  </si>
  <si>
    <t>* To correspond with the clause 8a column Regulatory/GAAP adjustments</t>
  </si>
  <si>
    <t>Go to Commentary tab: Commentary on the Consolidation Statement</t>
  </si>
  <si>
    <t>SCHEDULE 9: REPORT ON ASSET ALLOCATIONS</t>
  </si>
  <si>
    <t>9a: Asset Allocations</t>
  </si>
  <si>
    <t>Specified Terminal Activities</t>
  </si>
  <si>
    <t>Airport Business</t>
  </si>
  <si>
    <t>Unregulated Component</t>
  </si>
  <si>
    <t>Total ($000)</t>
  </si>
  <si>
    <t>Directly attributable assets</t>
  </si>
  <si>
    <t>Assets not directly attributable</t>
  </si>
  <si>
    <t>Total value</t>
  </si>
  <si>
    <t>Infrastructure and Buildings</t>
  </si>
  <si>
    <t>Vehicles, Plant and Equipment</t>
  </si>
  <si>
    <t>Total</t>
  </si>
  <si>
    <t>Assets</t>
  </si>
  <si>
    <t>9a: Asset Allocations - Asset Allocators</t>
  </si>
  <si>
    <t>Category1 | Asset Category</t>
  </si>
  <si>
    <t>Category2 | Allocator*</t>
  </si>
  <si>
    <t xml:space="preserve"> Allocator Type</t>
  </si>
  <si>
    <t>Rationale</t>
  </si>
  <si>
    <t>Asset Line Items</t>
  </si>
  <si>
    <t>* A description of the metric used for allocation, e.g. floor space.</t>
  </si>
  <si>
    <t>9b: Notes to the Report</t>
  </si>
  <si>
    <t>9b(i): Changes in Asset Allocators</t>
  </si>
  <si>
    <t>Text input</t>
  </si>
  <si>
    <t>Effect of Change ($000) | CY-1</t>
  </si>
  <si>
    <t>Effect of Change ($000) | Current Year (CY)</t>
  </si>
  <si>
    <t>Effect of Change ($000) | CY+1</t>
  </si>
  <si>
    <t>Asset category</t>
  </si>
  <si>
    <t>Original allocator or components</t>
  </si>
  <si>
    <t>Original</t>
  </si>
  <si>
    <t>New allocator or components</t>
  </si>
  <si>
    <t>New</t>
  </si>
  <si>
    <t>Difference</t>
  </si>
  <si>
    <t>Go to Commentary tab: Commentary on Asset Allocations</t>
  </si>
  <si>
    <t>SCHEDULE 10: REPORT ON COST ALLOCATIONS</t>
  </si>
  <si>
    <t>10a: Cost Allocations</t>
  </si>
  <si>
    <t>Specified Terminal Activities ($000)</t>
  </si>
  <si>
    <t>Airfield Activities ($000)</t>
  </si>
  <si>
    <t>Aircraft and Freight Activities ($000)</t>
  </si>
  <si>
    <t>Airport Business ($000)</t>
  </si>
  <si>
    <t>Unregulated Component ($000)</t>
  </si>
  <si>
    <t>Corporate Overheads</t>
  </si>
  <si>
    <t xml:space="preserve">Directly attributable operating costs </t>
  </si>
  <si>
    <t xml:space="preserve">Costs not directly attributable </t>
  </si>
  <si>
    <t>Asset Management and Airport Operations</t>
  </si>
  <si>
    <t>Asset Maintenance</t>
  </si>
  <si>
    <t>Operating costs</t>
  </si>
  <si>
    <t>10a: Cost Allocations - Cost Allocators</t>
  </si>
  <si>
    <t>Category1 | Operating Cost Category</t>
  </si>
  <si>
    <t>Operating Cost Line Items</t>
  </si>
  <si>
    <t>10b: Notes to the Report</t>
  </si>
  <si>
    <t>10b(i): Changes in Cost Allocators</t>
  </si>
  <si>
    <t>Operating cost category</t>
  </si>
  <si>
    <t>Go to Commentary tab: Commentary on Cost Allocations</t>
  </si>
  <si>
    <t>SCHEDULE 11: REPORT ON RELIABILITY MEASURES</t>
  </si>
  <si>
    <t>11: Reliability measures</t>
  </si>
  <si>
    <t>Number of interruptions</t>
  </si>
  <si>
    <t>Total Duration|Hours interrupted</t>
  </si>
  <si>
    <t>Total Duration | Minutes interrupted</t>
  </si>
  <si>
    <t xml:space="preserve">11: Reliability measures </t>
  </si>
  <si>
    <t>Runway</t>
  </si>
  <si>
    <t xml:space="preserve">Airports </t>
  </si>
  <si>
    <t>The number and duration of interruptions to taxiway(s) during disclosure year by party primarily responsible</t>
  </si>
  <si>
    <t>Airlines/Other</t>
  </si>
  <si>
    <t>Undetermined reasons</t>
  </si>
  <si>
    <t xml:space="preserve">Total </t>
  </si>
  <si>
    <t>Taxiway</t>
  </si>
  <si>
    <t>Remote stands and means of embarkation/disembarkation</t>
  </si>
  <si>
    <t>The number and duration of interruptions to remote stands and means of embarkation/disembarkation during disclosure year by party primarily responsible</t>
  </si>
  <si>
    <t>Contact stands and airbridges</t>
  </si>
  <si>
    <t>The number and duration of interruptions to contact stands during disclosure year by party primarily responsible</t>
  </si>
  <si>
    <t>Baggage sortation system on departures</t>
  </si>
  <si>
    <t>The number and duration of interruptions to baggage sortation system on departures during disclosure year by party primarily responsible</t>
  </si>
  <si>
    <t>Baggage reclaim belts</t>
  </si>
  <si>
    <t>The number and duration of interruptions to baggage reclaim belts during disclosure year by party primarily responsible</t>
  </si>
  <si>
    <t>On-time departure delay</t>
  </si>
  <si>
    <t>The total number of flights affected by on time departure delay and the total duration of the delay during disclosure year by party primarily responsible</t>
  </si>
  <si>
    <t>Fixed electrical ground power availability (if applicable)</t>
  </si>
  <si>
    <t>The percentage of time that FEGP is unavailable due to interruptions</t>
  </si>
  <si>
    <t>Disclosure of FEGP information applies only to airports where fixed electrical ground power is available.</t>
  </si>
  <si>
    <t>Go to Commentary tab: Commentary on reliability</t>
  </si>
  <si>
    <t>SCHEDULE 12: REPORT ON CAPACITY UTILISATION INDICATORS FOR AIRCRAFT AND FREIGHT ACTIVITIES AND AIRFIELD ACTIVITIES</t>
  </si>
  <si>
    <t>12: Capacity Utilisation indicators</t>
  </si>
  <si>
    <t>Category3</t>
  </si>
  <si>
    <t>Runway #1</t>
  </si>
  <si>
    <t>Runway #2</t>
  </si>
  <si>
    <t>Runway #3</t>
  </si>
  <si>
    <t>Description of runway(s)</t>
  </si>
  <si>
    <t>Designations</t>
  </si>
  <si>
    <t>Length of pavement (m)</t>
  </si>
  <si>
    <t>Width (m)</t>
  </si>
  <si>
    <t>Shoulder width (m)</t>
  </si>
  <si>
    <t>Runway code</t>
  </si>
  <si>
    <t>ILS category</t>
  </si>
  <si>
    <t>Declared runway capacity for specified meteorological condition</t>
  </si>
  <si>
    <t>VMC (movements per hour)</t>
  </si>
  <si>
    <t>IMC (movements per hour)</t>
  </si>
  <si>
    <t>Taxiway #1</t>
  </si>
  <si>
    <t>Taxiway #2</t>
  </si>
  <si>
    <t>Taxiway #3</t>
  </si>
  <si>
    <t>Description of main taxiway(s)</t>
  </si>
  <si>
    <t>Name</t>
  </si>
  <si>
    <t>Length (m)</t>
  </si>
  <si>
    <t>Status</t>
  </si>
  <si>
    <t>Number of links</t>
  </si>
  <si>
    <t>Contact stand–airbridge</t>
  </si>
  <si>
    <t>Contact stand–walking</t>
  </si>
  <si>
    <t>Remote stand–bus</t>
  </si>
  <si>
    <t>Aircraft parking stands</t>
  </si>
  <si>
    <t>Air passenger services</t>
  </si>
  <si>
    <t>International</t>
  </si>
  <si>
    <t>Number of apron stands available during the runway busy day categorised by stand description and primary flight category</t>
  </si>
  <si>
    <t>Domestic jet</t>
  </si>
  <si>
    <t>Domestic turboprop</t>
  </si>
  <si>
    <t>Total parking stands</t>
  </si>
  <si>
    <t>Busy periods for runway movements</t>
  </si>
  <si>
    <t>Runway busy day</t>
  </si>
  <si>
    <t>Runway busy hour start time (day/month/year hour)</t>
  </si>
  <si>
    <t>Contact stand - airbridge</t>
  </si>
  <si>
    <t>Contact stand - walking</t>
  </si>
  <si>
    <t>Remote stand - bus</t>
  </si>
  <si>
    <t>Number of aircraft runway movements during the runway busy day with air passenger service flights categorised by stand description and flight category</t>
  </si>
  <si>
    <t>Other (including General Aviation)</t>
  </si>
  <si>
    <t>Total aircraft movements during the runway busy day</t>
  </si>
  <si>
    <t>Aircraft runway movement</t>
  </si>
  <si>
    <t>Number of aircraft runway movements during the runway busy hour</t>
  </si>
  <si>
    <t>Go to Commentary tab: commentary on airfield cap and utilisation</t>
  </si>
  <si>
    <t>SCHEDULE 13: REPORT ON CAPACITY UTILISATION INDICATORS FOR SPECIFIED PASSENGER TERMINAL ACTIVITIES</t>
  </si>
  <si>
    <t>13: Terminal Capacity Utilisation Indicators - Outbound (Departing) Passengers</t>
  </si>
  <si>
    <t>Category4</t>
  </si>
  <si>
    <t xml:space="preserve">International terminal </t>
  </si>
  <si>
    <t xml:space="preserve">Domestic terminal </t>
  </si>
  <si>
    <t>Common area †</t>
  </si>
  <si>
    <t>13: Terminal Capacity Utilisation Indicators</t>
  </si>
  <si>
    <t>Passenger busy hour for landside circulation (outbound)—start time
(day/month/year hour)</t>
  </si>
  <si>
    <t>Floor space (m2)</t>
  </si>
  <si>
    <t>Passenger throughput during the passenger busy hour (passengers/hour)</t>
  </si>
  <si>
    <t>Utilisation (busy hour passengers per 100m2)</t>
  </si>
  <si>
    <t xml:space="preserve">Check-in </t>
  </si>
  <si>
    <t>Passenger busy hour for check-in—start time (day/month/year hour)</t>
  </si>
  <si>
    <t>Baggage (outbound)</t>
  </si>
  <si>
    <t>Passenger busy hour for baggage (outbound)—start time (day/month/year hour)</t>
  </si>
  <si>
    <t>Make-up area floor space (m2)</t>
  </si>
  <si>
    <t>Notional capacity during the passenger busy hour (bags/hour)*</t>
  </si>
  <si>
    <t>Bags processed during the passenger busy hour (bags/hour)*</t>
  </si>
  <si>
    <t>Utilisation (% of processing capacity)</t>
  </si>
  <si>
    <t>* Please describe in the capacity utilisation indicators commentary box how notional capacity and bags throughput have been assessed.</t>
  </si>
  <si>
    <t>Passport control (outbound)</t>
  </si>
  <si>
    <t>Passenger busy hour for passport control (outbound)—start time
(day/month/year hour)</t>
  </si>
  <si>
    <t>Number of emigration booths and kiosks</t>
  </si>
  <si>
    <t>Notional capacity during the passenger busy hour (passengers/hour) *</t>
  </si>
  <si>
    <t>* Please describe in the capacity utilisation indicators commentary box how the notional capacity has been assessed.</t>
  </si>
  <si>
    <t>Security screening</t>
  </si>
  <si>
    <t>Passenger busy hour for security screening—start time (day/month/year hour)</t>
  </si>
  <si>
    <t>Facilities for passengers excluding international transit &amp; transfer</t>
  </si>
  <si>
    <t>Number of screening points</t>
  </si>
  <si>
    <t>Facilities for international transit &amp; transfer passengers</t>
  </si>
  <si>
    <t>Notional capacity during the passenger busy hour (passengers/hour)*</t>
  </si>
  <si>
    <t>Estimated passenger throughput during the passenger busy hour (passengers/hour)</t>
  </si>
  <si>
    <t>Airside circulation (outbound)</t>
  </si>
  <si>
    <t>Passenger busy hour for airside circulation (outbound)—start time
(day/month/year hour)</t>
  </si>
  <si>
    <t>Departure lounges</t>
  </si>
  <si>
    <t>Passenger busy hour for departure lounges—start time (day/month/year hour)</t>
  </si>
  <si>
    <t>Number of seats</t>
  </si>
  <si>
    <t>Utilisation (passengers per seat)</t>
  </si>
  <si>
    <t>† For functional components which are normally shared by passengers on international and domestic aircraft.</t>
  </si>
  <si>
    <t>13: Terminal Capacity Utilisation Indicators - Inbound (Arriving) Passengers</t>
  </si>
  <si>
    <t xml:space="preserve">13: Capacity Utilisation indicators for specified passanger terminal activities </t>
  </si>
  <si>
    <t>Airside circulation (inbound)</t>
  </si>
  <si>
    <t>Passenger busy hour for airside circulation (inbound)—start time
(day/month/year hour)</t>
  </si>
  <si>
    <t>Passport control (inbound)</t>
  </si>
  <si>
    <t>Passenger busy hour for passport control (inbound)—start time
(day/month/year hour)</t>
  </si>
  <si>
    <t>Number of immigration booths and kiosks</t>
  </si>
  <si>
    <t>Landside circulation (inbound)</t>
  </si>
  <si>
    <t>Passenger busy hour for landside circulation (inbound)—start time
(day/month/year hour)</t>
  </si>
  <si>
    <t>Baggage reclaim</t>
  </si>
  <si>
    <t>Passenger busy hour for baggage reclaim—start time (day/month/year hour)</t>
  </si>
  <si>
    <t>Number of reclaim units</t>
  </si>
  <si>
    <t>Notional reclaim unit capacity during the passenger busy hour (bags/hour)*</t>
  </si>
  <si>
    <t>Bio-security screening and inspection and customs secondary inspection</t>
  </si>
  <si>
    <t>Passenger busy hour for bio-security screening and inspection and
customs secondary inspection—start time (day/month/year hour)</t>
  </si>
  <si>
    <t>Notional MAF secondary screening capacity during the passenger busy hour (passengers/hour)*</t>
  </si>
  <si>
    <t>Arrivals concourse</t>
  </si>
  <si>
    <t>Passenger busy hour for arrivals concourse—start time (day/month/year hour)</t>
  </si>
  <si>
    <t>Total terminal functional areas providing facilities and service directly for passengers</t>
  </si>
  <si>
    <t>Number of working baggage trolleys available for passenger use
at end of disclosure year</t>
  </si>
  <si>
    <t>SCHEDULE 14: REPORT ON PASSENGER SATISFACTION INDICATORS</t>
  </si>
  <si>
    <t xml:space="preserve">14: Passenger Survey Results </t>
  </si>
  <si>
    <t>Survey</t>
  </si>
  <si>
    <t>14: Passenger survey results</t>
  </si>
  <si>
    <t>Survey organisation</t>
  </si>
  <si>
    <t>Survey organisation used</t>
  </si>
  <si>
    <t>If "Other", please specify</t>
  </si>
  <si>
    <t xml:space="preserve">Category1|Passenger satisfaction survey score
(average quarterly rating by service item)
</t>
  </si>
  <si>
    <t>Quarter 1 of the Current DY</t>
  </si>
  <si>
    <t>Quarter 2 of the Current DY</t>
  </si>
  <si>
    <t>Quarter 3 of the Current DY</t>
  </si>
  <si>
    <t>Quarter 4 of the Current DY</t>
  </si>
  <si>
    <t xml:space="preserve">Annual average </t>
  </si>
  <si>
    <t>Domestic terminal</t>
  </si>
  <si>
    <t>Ease of finding your way through an airport</t>
  </si>
  <si>
    <t>Ease of making connections with other flights</t>
  </si>
  <si>
    <t>Flight information display screens</t>
  </si>
  <si>
    <t>Walking distance within and/or between terminals</t>
  </si>
  <si>
    <t>Availability of baggage carts/trolleys</t>
  </si>
  <si>
    <t>Courtesy, helpfulness of airport staff (excluding check-in and security)</t>
  </si>
  <si>
    <t>Availability of washrooms/toilets</t>
  </si>
  <si>
    <t>Cleanliness of washrooms/toilets</t>
  </si>
  <si>
    <t>Comfort of waiting/gate areas</t>
  </si>
  <si>
    <t>Cleanliness of airport terminal</t>
  </si>
  <si>
    <t>Ambience of the airport</t>
  </si>
  <si>
    <t>Security inspection waiting time</t>
  </si>
  <si>
    <t>Check-in waiting time</t>
  </si>
  <si>
    <t>Feeling of being safe and secure</t>
  </si>
  <si>
    <t>Average survey score</t>
  </si>
  <si>
    <t>International terminal</t>
  </si>
  <si>
    <t>Passport and visa inspection waiting time</t>
  </si>
  <si>
    <t>The margin of error requirement specified in clause 2.4(3)(c) of the determination applies only to the combined quarterly survey results for the disclosure year.  Quarterly results may not conform to the margina of error requirement.</t>
  </si>
  <si>
    <t>Go to Commentary tab: Commentary on passenger surveys</t>
  </si>
  <si>
    <t>SCHEDULE 15: REPORT ON OPERATIONAL IMPROVEMENT PROCESSES</t>
  </si>
  <si>
    <t>Go to Commentary tab: Commentary on operational improvement processes</t>
  </si>
  <si>
    <t>16a: Aircraft statistics - (i) International air passenger services—total number and MCTOW of landings by aircraft type during disclosure year</t>
  </si>
  <si>
    <t>Category2|
Aircraft type</t>
  </si>
  <si>
    <t>Total number of landings</t>
  </si>
  <si>
    <t>Total  MCTOW
(tonnes)</t>
  </si>
  <si>
    <t>International air passenger services—total number and MCTOW of landings by aircraft type during disclosure year</t>
  </si>
  <si>
    <t>Disclosures are categorised by core aircraft types such as Boeing 737-400 or Airbus A320.  Sub variants within these types need not be disclosed.</t>
  </si>
  <si>
    <t>16a: Aircraft statistics - (ii) Domestic air passenger services—the total number and MCTOW of landings of  flights by aircraft type during disclosure year</t>
  </si>
  <si>
    <t>(1). Domestic air passenger services—aircraft 30 tonnes MCTOW or more</t>
  </si>
  <si>
    <t>(2). Domestic air passenger services—aircraft 3 tonnes or more but less than 30 tonnes MCTOW</t>
  </si>
  <si>
    <t>16a: Aircraft statistics - (iii) The total number and MCTOW of landings of aircraft not included in (i) and (ii) above during disclosure year</t>
  </si>
  <si>
    <t>Total  MCTOW (tonnes)</t>
  </si>
  <si>
    <t>Air passenger service aircraft less than 3 tonnes MCTOW</t>
  </si>
  <si>
    <t>Freight aircraft</t>
  </si>
  <si>
    <t>Military and diplomatic aircraft</t>
  </si>
  <si>
    <t>Other aircraft (including General Aviation)</t>
  </si>
  <si>
    <t>16a: Aircraft statistics - (iv)  The total number and MCTOW of landings during the disclosure year</t>
  </si>
  <si>
    <t xml:space="preserve">16b: Terminal access </t>
  </si>
  <si>
    <t>Number of domestic jet and international air passenger service aircraft movements* during disclosure year categorised by the main form of passenger access to and from terminal</t>
  </si>
  <si>
    <t>Contact 
stand-airbridge</t>
  </si>
  <si>
    <t>Contact
stand-walking</t>
  </si>
  <si>
    <t>Remote
stand-bus</t>
  </si>
  <si>
    <t>16b: Terminal access</t>
  </si>
  <si>
    <t>International air passenger service movements</t>
  </si>
  <si>
    <t>* NB. The terminal access disclosure figures do not include non-jet aircraft domestic air passenger service flights.</t>
  </si>
  <si>
    <t>Domestic jet air passenger service movements</t>
  </si>
  <si>
    <t>Domestic</t>
  </si>
  <si>
    <t xml:space="preserve">16c: Passenger statistics </t>
  </si>
  <si>
    <t>Inbound passengers†</t>
  </si>
  <si>
    <t>Outbound passengers†</t>
  </si>
  <si>
    <t>Total (gross figure)</t>
  </si>
  <si>
    <t>less estimated number of transfer and transit passengers</t>
  </si>
  <si>
    <t>Total (net figure)</t>
  </si>
  <si>
    <t>† Inbound and outbound passenger numbers include the number of transit and transfer passengers on the flight.  The number of transit and transfer passengers can be subtracted from the total to estimate numbers that pass through the passenger terminal.</t>
  </si>
  <si>
    <t xml:space="preserve">16d: Airline statistics </t>
  </si>
  <si>
    <t>Name of each commercial carrier providing a regular air transport passenger service through the airport during disclosure year</t>
  </si>
  <si>
    <t xml:space="preserve">16e: Human resource statistics </t>
  </si>
  <si>
    <t>Aircraft and Freight Activities</t>
  </si>
  <si>
    <t>Number of full-time equivalent employees</t>
  </si>
  <si>
    <t>Human resource costs ($000)</t>
  </si>
  <si>
    <t>Human resource costs</t>
  </si>
  <si>
    <t>Go to Commentary tab: commentary on concerning the report on associated statistics</t>
  </si>
  <si>
    <t>SCHEDULE 17: REPORT ON PRICING STATISTICS</t>
  </si>
  <si>
    <t>17a: Components of Pricing Statistics</t>
  </si>
  <si>
    <t>Number of passengers</t>
  </si>
  <si>
    <t>Total MCTOW (tonnes)</t>
  </si>
  <si>
    <t>Net operating charges from airfield activities relating to domestic flights of 3 tonnes or more but less than 30 tonnes MCTOW</t>
  </si>
  <si>
    <t>Net operating charges from airfield activities relating to domestic flights of 30 tonnes MCTOW or more</t>
  </si>
  <si>
    <t>Net operating charges from airfield activities relating to international flights</t>
  </si>
  <si>
    <t>Net operating charges from specified passenger terminal activities relating to domestic passengers</t>
  </si>
  <si>
    <t>Net operating charges from specified passenger terminal activities relating to international passengers</t>
  </si>
  <si>
    <t>Number of domestic passengers on flights of 3 tonnes or more but less than 30 tonnes MCTOW</t>
  </si>
  <si>
    <t>Number of domestic passengers on flights of 30 tonnes MCTOW or more</t>
  </si>
  <si>
    <t xml:space="preserve">Number of international passengers </t>
  </si>
  <si>
    <t>Total MCTOW of domestic flights of 3 tonnes or more but less than 30 tonnes MCTOW</t>
  </si>
  <si>
    <t>Total MCTOW of domestic flights of 30 tonnes MCTOW or more</t>
  </si>
  <si>
    <t xml:space="preserve">Total MCTOW of international flights </t>
  </si>
  <si>
    <t>17b: Pricing Statistics</t>
  </si>
  <si>
    <t>Average charge 
($ per passenger)</t>
  </si>
  <si>
    <t>Average charge
($ per tonne MCTOW)</t>
  </si>
  <si>
    <t>Average charge
($ per domestic passenger)</t>
  </si>
  <si>
    <t>Average charge
($ per international passenger)</t>
  </si>
  <si>
    <t>Average charge from airfield activities relating to domestic flights of 3 tonnes or more but less than 30 tonnes MCTOW</t>
  </si>
  <si>
    <t>Average charge from airfield activities relating to domestic flights of 30 tonnes MCTOW or more</t>
  </si>
  <si>
    <t>Average charge from airfield activities relating to international flights</t>
  </si>
  <si>
    <t>Average charge from specified passenger terminal activities</t>
  </si>
  <si>
    <t>Average charge from airfield activities and specified passenger terminal activities</t>
  </si>
  <si>
    <t xml:space="preserve">Go to Commentary tab: Commentary on pricing statistics </t>
  </si>
  <si>
    <t>SCHEDULE 25: TRANSITIONAL REPORT ON REGULATORY ASSET BASE VALUE FOR LAND</t>
  </si>
  <si>
    <t xml:space="preserve">25.Regulatory Asset Base Value for Land </t>
  </si>
  <si>
    <t>Unallocated RAB |
($000)</t>
  </si>
  <si>
    <t>RAB |
 ($000)</t>
  </si>
  <si>
    <t>Estimated value of land assets for the 2009 year</t>
  </si>
  <si>
    <t>Capital expenditure on land for disclosure year 2010</t>
  </si>
  <si>
    <t>Value of disposed assets on land for disclosure year 2010 (negative amount)</t>
  </si>
  <si>
    <t>Estimated value of land assets for the 2011 year</t>
  </si>
  <si>
    <t>Capital expenditure on land for disclosure year 2011</t>
  </si>
  <si>
    <t>Value of disposed assets on land for disclosure year 2011 (negative amount)</t>
  </si>
  <si>
    <t>Initial RAB value</t>
  </si>
  <si>
    <t>Go to Commentary tab: Commentary on transitional initial RAB</t>
  </si>
  <si>
    <t>Category2 | Description</t>
  </si>
  <si>
    <t xml:space="preserve">Explanation of variances </t>
  </si>
  <si>
    <t>Consistent with clause 2.3(8), this explains the variance in the Post-tax IRR for pricing period to date and includes explanations for variances disclosed in Schedule 1, 2, 4 and 6 that have a material impact on the variance in the Post-tax IRR for pricing period to date.</t>
  </si>
  <si>
    <t>1c: Carry Forward Balance</t>
  </si>
  <si>
    <t>Commentary on Carry forward balance</t>
  </si>
  <si>
    <t>Justification for Merger and Acquisition Expenses</t>
  </si>
  <si>
    <t>Disclosure of Permanent Differences and Temporary Adjustments</t>
  </si>
  <si>
    <t>The Airport Business is to provide descriptions and workings of items recorded in the four "other" categories in Section 3a (explanatory notes can be provided in a separate note if necessary).</t>
  </si>
  <si>
    <t>Commentary on Related Party Transactions</t>
  </si>
  <si>
    <t>6a: Actual to Forecast Expenditure</t>
  </si>
  <si>
    <t>Explanation of Variances</t>
  </si>
  <si>
    <t>Airport businesses are to provide explanations of material variances between actual and forecast expenditure.</t>
  </si>
  <si>
    <t>Explanation of how the airport produced the estimated present value of each proposed risk allocation adjustment</t>
  </si>
  <si>
    <t>Airport Companies must provide a brief explanation of how the airport produced its estimated present value for each risk allocation adjustment specified in Section 6c.</t>
  </si>
  <si>
    <t>Commentary on Segmented Information</t>
  </si>
  <si>
    <t>Commentary on the Consolidation Statement</t>
  </si>
  <si>
    <t>Commentary on Asset Allocations</t>
  </si>
  <si>
    <t>Commentary on Cost Allocations</t>
  </si>
  <si>
    <t>Commentary concerning reliability measures</t>
  </si>
  <si>
    <t>Must include information on how the responsibility for interruptions is determined and the processes the Airport has put in place for undertaking any operational improvement in respect of reliability.  If interruptions are categorised as “occurring for undetermined reasons”, the reasons for inclusion in this category must be disclosed.</t>
  </si>
  <si>
    <t>Commentary concerning capacity utilisation indicators for aircraft and freight activities and airfield activities</t>
  </si>
  <si>
    <t>Commentary concerning capacity utilisation indicators for Passenger Terminal Activities</t>
  </si>
  <si>
    <t>Commentary must include an assessment of the accuracy of the passenger data used to prepare the utilisation indicators.
† For functional components which are normally shared by passengers on international and domestic aircraft.</t>
  </si>
  <si>
    <t>Commentary concerning report on passenger satisfaction indicators</t>
  </si>
  <si>
    <t>Commentary must include an assessment of the accuracy of the passenger data used to prepare the utilisation indicators and the internet location of fieldwork documentation .</t>
  </si>
  <si>
    <t>15: Operational improvement processes</t>
  </si>
  <si>
    <t>Disclosure of the operational improvement process</t>
  </si>
  <si>
    <t>The process put in place by the Airport for it to meet regularly with airlines to improve the reliability and passenger satisfaction performance consistent with that reflected in the indicators.</t>
  </si>
  <si>
    <t>Commentary concerning the report on associated statistics</t>
  </si>
  <si>
    <t>Commentary on Pricing Statistics</t>
  </si>
  <si>
    <t xml:space="preserve">25: Regulatory Asset Base Value for Land </t>
  </si>
  <si>
    <t>Commentary on transitional initial RAB</t>
  </si>
  <si>
    <t>The total number of passengers during disclosure year</t>
  </si>
  <si>
    <t>16c: Passenger statistics</t>
  </si>
  <si>
    <t>7: Segmented Information</t>
  </si>
  <si>
    <t>To assist with data entry, for the following cells in the template:
   Schedule 4, cells L91:L99;
   Schedule 7, cells J5:J20;
if the cell content becomes inconsistent with data elsewhere in the template the internal consistency check cell D16 at the "CoverSheet" tab will show "Error" instead of "OK".</t>
  </si>
  <si>
    <t>Clause 6a of schedule 6 compares actual expenditures with expenditures forecast in respect of the most recent price setting event.
   The calculated cells F6:F7, F9:F11, F17:F26 determine, from clause 6b, the forecast expenditure for the current disclosure year.
   The calculated cells I6:I7, I9:I11, I17:I26 determine, from clause 6b, the forecast expenditure to date.
The formulas in the calculated cells assume that the current disclosure falls within the five year pricing period. Cell B28 note which of the pricing period years disclosed in clause 6b coincides with the current disclosure year.</t>
  </si>
  <si>
    <t>To prepare the templates for disclosure the cover sheet should be filled in. The suppliers company name should be selected in cell D8, the date of the last day of the current (disclosure) year should be entered in cell D12, the date of the last day of the pricing period starting year should be entered in cell D14, and the date on which the information is disclosed should be entered in cell D10. The date fields are pre-populated with examples and should be updated before disclosure.</t>
  </si>
  <si>
    <t>Commentary Disclosures</t>
  </si>
  <si>
    <t>Disclosures requiring more detailed commentary or explanation should be recorded in the commentary tab at the end of the workbook. Data entry tables include specific instructions directing to the commentary tab, along with guidance on the type of information to be disclosed. Where the standard space provided is insufficient, commentary disclosure boxes should be expanded to ensure all relevant information is clearly presented and fully visible.</t>
  </si>
  <si>
    <t>Landside circulation (outbound)</t>
  </si>
  <si>
    <t>SCHEDULE 16: REPORT ON ASSOCIATED STATISTICS</t>
  </si>
  <si>
    <t>REPORT ON ASSOCIATED STATISTICS</t>
  </si>
  <si>
    <t>*Go to Commentary tab: Terminal capacity utilisation indicators</t>
  </si>
  <si>
    <t>Prepared October 2026</t>
  </si>
  <si>
    <t>Airport_ID_annual__V2026_10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</si>
</sst>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2">
    <numFmt numFmtId="164" formatCode="_(* #,##0.00_);_(* \(#,##0.00\);_(* &quot;-&quot;??_);_(@_)"/>
    <numFmt numFmtId="165" formatCode="_(* #,##0.0,,_);_(* \(#,##0.0,,\);_(* &quot;-&quot;??_);_(@_)"/>
    <numFmt numFmtId="166" formatCode="#,##0\ ;\(#,##0\);\-"/>
    <numFmt numFmtId="167" formatCode="#,##0.00%;\(#,##0.00%\);\-"/>
    <numFmt numFmtId="168" formatCode="_(* @_)"/>
    <numFmt numFmtId="169" formatCode="_([$-1409]d\ mmmm\ yyyy;_(@"/>
    <numFmt numFmtId="170" formatCode="_(@_)"/>
    <numFmt numFmtId="171" formatCode="[$-1409]d\ mmm\ yy;@"/>
    <numFmt numFmtId="172" formatCode="_(* #,##0_);_(* \(#,##0\);_(* &quot;–&quot;??_);_(* @_)"/>
    <numFmt numFmtId="173" formatCode="_(* #,##0.000%_);_(* \(#,##0.000%\);_(* &quot;–&quot;???_);_(* @_)"/>
    <numFmt numFmtId="174" formatCode="_(* #,##0_);_(* \(#,##0\);_(* &quot;–&quot;??_);_(@_)"/>
    <numFmt numFmtId="175" formatCode="_(* [$-1409]d\ mmmm\ yyyy_);_(* @_)"/>
    <numFmt numFmtId="176" formatCode="_(* [$-1409]d\ mmm\ yyyy\ h\ AM/PM;_(* @_)"/>
    <numFmt numFmtId="177" formatCode="_(* #,##0%_);_(* \(#,##0%\);_(* &quot;–&quot;???_);_(* @_)"/>
    <numFmt numFmtId="178" formatCode="_(* #,##0.0_);_(* \(#,##0.0\);_(* &quot;–&quot;???_);_(* @_)"/>
    <numFmt numFmtId="179" formatCode="_(* #,##0.00_);_(* \(#,##0.00\);_(* &quot;–&quot;???_);_(* @_)"/>
    <numFmt numFmtId="180" formatCode="_(* #,##0.00%_);_(* \(#,##0.00%\);_(* &quot;–&quot;???_);_(* @_)"/>
    <numFmt numFmtId="181" formatCode="[$-1409]d\ mmm\ yyyy;@"/>
    <numFmt numFmtId="182" formatCode="_(* #,##0.0%_);_(* \(#,##0.0%\);_(* &quot;–&quot;???_);_(* @_)"/>
    <numFmt numFmtId="183" formatCode="_(* 0000_);_(* \(0000\);_(* &quot;–&quot;??_);_(@_)"/>
    <numFmt numFmtId="184" formatCode="_(* 00_);_(* \(00\);_(* &quot;–&quot;??_);_(* @_)"/>
    <numFmt numFmtId="185" formatCode="[$-1409]d\ mmmm\ yyyy"/>
  </numFmts>
  <fonts count="52">
    <font>
      <sz val="11"/>
      <color theme="1"/>
      <name val="Calibri"/>
      <family val="2"/>
      <scheme val="minor"/>
    </font>
    <font>
      <sz val="11"/>
      <color theme="1"/>
      <name val="Calibri"/>
      <family val="2"/>
      <scheme val="minor"/>
    </font>
    <font>
      <sz val="11"/>
      <color rgb="FF9C5700"/>
      <name val="Calibri"/>
      <family val="2"/>
      <scheme val="minor"/>
    </font>
    <font>
      <b/>
      <sz val="11"/>
      <color theme="0"/>
      <name val="Calibri"/>
      <family val="2"/>
      <scheme val="minor"/>
    </font>
    <font>
      <b/>
      <sz val="11"/>
      <color theme="1"/>
      <name val="Calibri"/>
      <family val="2"/>
      <scheme val="minor"/>
    </font>
    <font>
      <b/>
      <sz val="18"/>
      <name val="Calibri"/>
      <family val="2"/>
      <scheme val="minor"/>
    </font>
    <font>
      <sz val="10"/>
      <color theme="1"/>
      <name val="Calibri"/>
      <family val="2"/>
      <scheme val="minor"/>
    </font>
    <font>
      <b/>
      <sz val="16"/>
      <name val="Calibri"/>
      <family val="4"/>
      <scheme val="minor"/>
    </font>
    <font>
      <b/>
      <sz val="16"/>
      <name val="Calibri"/>
      <family val="2"/>
      <scheme val="minor"/>
    </font>
    <font>
      <sz val="11"/>
      <name val="Calibri"/>
      <family val="2"/>
      <scheme val="minor"/>
    </font>
    <font>
      <sz val="10"/>
      <color theme="1"/>
      <name val="Calibri"/>
      <family val="4"/>
      <scheme val="minor"/>
    </font>
    <font>
      <i/>
      <sz val="11"/>
      <color theme="1"/>
      <name val="Calibri"/>
      <family val="2"/>
      <scheme val="minor"/>
    </font>
    <font>
      <sz val="8"/>
      <name val="Calibri"/>
      <family val="2"/>
      <scheme val="minor"/>
    </font>
    <font>
      <b/>
      <sz val="10"/>
      <color theme="1"/>
      <name val="Calibri Light"/>
      <family val="1"/>
      <scheme val="major"/>
    </font>
    <font>
      <sz val="10"/>
      <color theme="1"/>
      <name val="Calibri Light"/>
      <family val="1"/>
      <scheme val="major"/>
    </font>
    <font>
      <i/>
      <sz val="8"/>
      <color theme="1"/>
      <name val="Calibri"/>
      <family val="4"/>
      <scheme val="minor"/>
    </font>
    <font>
      <i/>
      <sz val="8"/>
      <color indexed="8"/>
      <name val="Arial"/>
      <family val="2"/>
    </font>
    <font>
      <b/>
      <sz val="10"/>
      <color theme="1"/>
      <name val="Calibri"/>
      <family val="4"/>
      <scheme val="minor"/>
    </font>
    <font>
      <sz val="10"/>
      <color theme="8"/>
      <name val="Calibri"/>
      <family val="4"/>
      <scheme val="minor"/>
    </font>
    <font>
      <i/>
      <sz val="10"/>
      <color theme="1"/>
      <name val="Calibri"/>
      <family val="2"/>
      <scheme val="minor"/>
    </font>
    <font>
      <i/>
      <sz val="10"/>
      <color rgb="FF000000"/>
      <name val="Calibri"/>
      <family val="2"/>
      <scheme val="minor"/>
    </font>
    <font>
      <i/>
      <sz val="9"/>
      <color theme="1"/>
      <name val="Calibri"/>
      <family val="2"/>
      <scheme val="minor"/>
    </font>
    <font>
      <b/>
      <sz val="18"/>
      <name val="Calibri"/>
      <family val="2"/>
    </font>
    <font>
      <sz val="11"/>
      <color theme="1"/>
      <name val="Calibri "/>
    </font>
    <font>
      <sz val="11"/>
      <name val="Calibri "/>
    </font>
    <font>
      <u/>
      <sz val="11"/>
      <color theme="10"/>
      <name val="Calibri"/>
      <family val="2"/>
      <scheme val="minor"/>
    </font>
    <font>
      <b/>
      <sz val="12"/>
      <color theme="1"/>
      <name val="Calibri Light"/>
      <family val="1"/>
      <scheme val="major"/>
    </font>
    <font>
      <u/>
      <sz val="10"/>
      <color theme="4"/>
      <name val="Calibri Light"/>
      <family val="1"/>
      <scheme val="major"/>
    </font>
    <font>
      <b/>
      <sz val="12"/>
      <color theme="0"/>
      <name val="Calibri"/>
      <family val="2"/>
      <scheme val="minor"/>
    </font>
    <font>
      <b/>
      <sz val="18"/>
      <color theme="1"/>
      <name val="Calibri"/>
      <family val="2"/>
      <scheme val="minor"/>
    </font>
    <font>
      <b/>
      <u/>
      <sz val="10"/>
      <color theme="1"/>
      <name val="Calibri"/>
      <family val="2"/>
      <scheme val="minor"/>
    </font>
    <font>
      <b/>
      <sz val="10"/>
      <color theme="1"/>
      <name val="Calibri"/>
      <family val="2"/>
      <scheme val="minor"/>
    </font>
    <font>
      <b/>
      <sz val="11"/>
      <name val="Calibri"/>
      <family val="2"/>
      <scheme val="minor"/>
    </font>
    <font>
      <i/>
      <sz val="10"/>
      <name val="Calibri"/>
      <family val="2"/>
      <scheme val="minor"/>
    </font>
    <font>
      <sz val="10"/>
      <color theme="1"/>
      <name val="Calibri"/>
      <family val="2"/>
    </font>
    <font>
      <sz val="10"/>
      <name val="Calibri"/>
      <family val="2"/>
    </font>
    <font>
      <b/>
      <i/>
      <sz val="12"/>
      <color theme="1"/>
      <name val="Calibri"/>
      <family val="2"/>
      <scheme val="minor"/>
    </font>
    <font>
      <b/>
      <sz val="12"/>
      <color theme="1"/>
      <name val="Calibri"/>
      <family val="2"/>
    </font>
    <font>
      <sz val="10"/>
      <color indexed="8"/>
      <name val="Calibri"/>
      <family val="2"/>
    </font>
    <font>
      <b/>
      <sz val="18"/>
      <color theme="1"/>
      <name val="Calibri"/>
      <family val="2"/>
    </font>
    <font>
      <i/>
      <sz val="10"/>
      <color theme="1"/>
      <name val="Calibri Light"/>
      <family val="2"/>
      <scheme val="major"/>
    </font>
    <font>
      <sz val="10"/>
      <color theme="1"/>
      <name val="Calibri Light"/>
      <family val="2"/>
      <scheme val="major"/>
    </font>
    <font>
      <sz val="10"/>
      <color indexed="8"/>
      <name val="Arial"/>
      <family val="1"/>
    </font>
    <font>
      <b/>
      <sz val="16"/>
      <name val="Calibri"/>
      <family val="2"/>
    </font>
    <font>
      <b/>
      <sz val="10"/>
      <name val="Calibri"/>
      <family val="2"/>
      <scheme val="minor"/>
    </font>
    <font>
      <i/>
      <sz val="9"/>
      <name val="Calibri"/>
      <family val="2"/>
      <scheme val="minor"/>
    </font>
    <font>
      <i/>
      <sz val="10"/>
      <color theme="1"/>
      <name val="Calibri "/>
    </font>
    <font>
      <b/>
      <sz val="14"/>
      <name val="Calibri"/>
      <family val="2"/>
    </font>
    <font>
      <b/>
      <sz val="15"/>
      <name val="Calibri"/>
      <family val="2"/>
    </font>
    <font>
      <b/>
      <sz val="17"/>
      <name val="Calibri"/>
      <family val="2"/>
    </font>
    <font>
      <b/>
      <sz val="17"/>
      <name val="Calibri"/>
      <family val="2"/>
      <scheme val="minor"/>
    </font>
    <font>
      <b/>
      <sz val="15"/>
      <name val="Calibri"/>
      <family val="2"/>
      <scheme val="minor"/>
    </font>
  </fonts>
  <fills count="15">
    <fill>
      <patternFill patternType="none"/>
    </fill>
    <fill>
      <patternFill patternType="gray125"/>
    </fill>
    <fill>
      <patternFill patternType="solid">
        <fgColor rgb="FFFFEB9C"/>
      </patternFill>
    </fill>
    <fill>
      <patternFill patternType="solid">
        <fgColor rgb="FFCCFFCC"/>
        <bgColor indexed="64"/>
      </patternFill>
    </fill>
    <fill>
      <patternFill patternType="solid">
        <fgColor rgb="FF2E666C"/>
        <bgColor rgb="FF2E666C"/>
      </patternFill>
    </fill>
    <fill>
      <patternFill patternType="solid">
        <fgColor theme="0" tint="-0.14996795556505021"/>
        <bgColor indexed="64"/>
      </patternFill>
    </fill>
    <fill>
      <patternFill patternType="solid">
        <fgColor theme="1" tint="0.499984740745262"/>
        <bgColor indexed="64"/>
      </patternFill>
    </fill>
    <fill>
      <patternFill patternType="solid">
        <fgColor theme="7" tint="0.79998168889431442"/>
        <bgColor indexed="64"/>
      </patternFill>
    </fill>
    <fill>
      <patternFill patternType="solid">
        <fgColor theme="2"/>
        <bgColor indexed="64"/>
      </patternFill>
    </fill>
    <fill>
      <patternFill patternType="solid">
        <fgColor theme="0"/>
        <bgColor indexed="64"/>
      </patternFill>
    </fill>
    <fill>
      <patternFill patternType="solid">
        <fgColor rgb="FFFDF2CF"/>
        <bgColor auto="1"/>
      </patternFill>
    </fill>
    <fill>
      <patternFill patternType="solid">
        <fgColor theme="4"/>
        <bgColor theme="4"/>
      </patternFill>
    </fill>
    <fill>
      <patternFill patternType="solid">
        <fgColor theme="3" tint="0.59999389629810485"/>
        <bgColor rgb="FF2E666C"/>
      </patternFill>
    </fill>
    <fill>
      <patternFill patternType="solid">
        <fgColor theme="3" tint="0.79998168889431442"/>
        <bgColor indexed="64"/>
      </patternFill>
    </fill>
    <fill>
      <patternFill patternType="solid">
        <fgColor rgb="FFD5EFFF"/>
        <bgColor indexed="64"/>
      </patternFill>
    </fill>
  </fills>
  <borders count="39">
    <border>
      <left/>
      <right/>
      <top/>
      <bottom/>
      <diagonal/>
    </border>
    <border>
      <left style="thin">
        <color indexed="64"/>
      </left>
      <right/>
      <top/>
      <bottom/>
      <diagonal/>
    </border>
    <border>
      <left style="thin">
        <color rgb="FF68B7BF"/>
      </left>
      <right/>
      <top/>
      <bottom style="thin">
        <color rgb="FF68B7BF"/>
      </bottom>
      <diagonal/>
    </border>
    <border>
      <left/>
      <right/>
      <top style="thin">
        <color rgb="FF68B7BF"/>
      </top>
      <bottom style="thin">
        <color rgb="FF68B7BF"/>
      </bottom>
      <diagonal/>
    </border>
    <border>
      <left/>
      <right/>
      <top style="thin">
        <color rgb="FF68B7BF"/>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theme="5"/>
      </left>
      <right style="thin">
        <color theme="5"/>
      </right>
      <top style="thin">
        <color theme="5"/>
      </top>
      <bottom style="thin">
        <color theme="5"/>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
      <left style="medium">
        <color theme="1"/>
      </left>
      <right style="medium">
        <color theme="1"/>
      </right>
      <top style="medium">
        <color theme="1"/>
      </top>
      <bottom style="medium">
        <color theme="1"/>
      </bottom>
      <diagonal/>
    </border>
    <border>
      <left style="medium">
        <color indexed="64"/>
      </left>
      <right style="medium">
        <color indexed="64"/>
      </right>
      <top style="medium">
        <color theme="1"/>
      </top>
      <bottom style="medium">
        <color theme="1"/>
      </bottom>
      <diagonal/>
    </border>
    <border>
      <left style="medium">
        <color indexed="64"/>
      </left>
      <right style="medium">
        <color theme="1"/>
      </right>
      <top style="medium">
        <color theme="1"/>
      </top>
      <bottom style="medium">
        <color theme="1"/>
      </bottom>
      <diagonal/>
    </border>
    <border>
      <left style="medium">
        <color indexed="64"/>
      </left>
      <right style="medium">
        <color indexed="64"/>
      </right>
      <top style="medium">
        <color indexed="64"/>
      </top>
      <bottom/>
      <diagonal/>
    </border>
    <border>
      <left style="medium">
        <color indexed="64"/>
      </left>
      <right style="medium">
        <color indexed="64"/>
      </right>
      <top style="medium">
        <color theme="1"/>
      </top>
      <bottom style="medium">
        <color indexed="64"/>
      </bottom>
      <diagonal/>
    </border>
    <border>
      <left/>
      <right/>
      <top/>
      <bottom style="thin">
        <color rgb="FF68B7BF"/>
      </bottom>
      <diagonal/>
    </border>
    <border>
      <left style="medium">
        <color rgb="FF000000"/>
      </left>
      <right style="medium">
        <color rgb="FF000000"/>
      </right>
      <top style="medium">
        <color rgb="FF000000"/>
      </top>
      <bottom style="medium">
        <color rgb="FF000000"/>
      </bottom>
      <diagonal/>
    </border>
    <border>
      <left/>
      <right/>
      <top/>
      <bottom style="thin">
        <color theme="4" tint="0.39997558519241921"/>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68B7BF"/>
      </left>
      <right/>
      <top/>
      <bottom/>
      <diagonal/>
    </border>
    <border>
      <left style="thin">
        <color theme="2" tint="-9.9978637043366805E-2"/>
      </left>
      <right/>
      <top style="thin">
        <color theme="2" tint="-9.9978637043366805E-2"/>
      </top>
      <bottom style="thin">
        <color theme="2" tint="-9.9978637043366805E-2"/>
      </bottom>
      <diagonal/>
    </border>
    <border>
      <left/>
      <right/>
      <top style="thin">
        <color theme="2" tint="-9.9978637043366805E-2"/>
      </top>
      <bottom style="thin">
        <color theme="2" tint="-9.9978637043366805E-2"/>
      </bottom>
      <diagonal/>
    </border>
    <border>
      <left/>
      <right style="thin">
        <color theme="2" tint="-9.9978637043366805E-2"/>
      </right>
      <top style="thin">
        <color theme="2" tint="-9.9978637043366805E-2"/>
      </top>
      <bottom style="thin">
        <color theme="2" tint="-9.9978637043366805E-2"/>
      </bottom>
      <diagonal/>
    </border>
    <border>
      <left/>
      <right/>
      <top style="thin">
        <color theme="2" tint="-9.9978637043366805E-2"/>
      </top>
      <bottom/>
      <diagonal/>
    </border>
    <border>
      <left/>
      <right/>
      <top style="thin">
        <color theme="2" tint="-9.9978637043366805E-2"/>
      </top>
      <bottom style="thin">
        <color rgb="FF68B7BF"/>
      </bottom>
      <diagonal/>
    </border>
    <border>
      <left style="thin">
        <color theme="2" tint="-9.9978637043366805E-2"/>
      </left>
      <right/>
      <top style="thin">
        <color theme="2" tint="-9.9978637043366805E-2"/>
      </top>
      <bottom/>
      <diagonal/>
    </border>
    <border>
      <left/>
      <right style="thin">
        <color rgb="FF68B7BF"/>
      </right>
      <top/>
      <bottom style="thin">
        <color rgb="FF68B7BF"/>
      </bottom>
      <diagonal/>
    </border>
  </borders>
  <cellStyleXfs count="36">
    <xf numFmtId="0" fontId="0" fillId="0" borderId="0"/>
    <xf numFmtId="0" fontId="2" fillId="2" borderId="0" applyNumberFormat="0" applyBorder="0" applyAlignment="0" applyProtection="0"/>
    <xf numFmtId="0" fontId="5" fillId="0" borderId="0" applyFill="0" applyProtection="0">
      <alignment horizontal="left" vertical="center"/>
    </xf>
    <xf numFmtId="0" fontId="7" fillId="3" borderId="1" applyBorder="0"/>
    <xf numFmtId="165" fontId="9" fillId="5" borderId="0" applyNumberFormat="0" applyBorder="0"/>
    <xf numFmtId="0" fontId="9" fillId="6" borderId="0" applyNumberFormat="0" applyBorder="0"/>
    <xf numFmtId="0" fontId="1" fillId="7" borderId="0" applyNumberFormat="0" applyBorder="0"/>
    <xf numFmtId="0" fontId="10" fillId="8" borderId="0"/>
    <xf numFmtId="9" fontId="1" fillId="0" borderId="0" applyFont="0" applyFill="0" applyBorder="0" applyAlignment="0" applyProtection="0"/>
    <xf numFmtId="164" fontId="1" fillId="0" borderId="0" applyFont="0" applyFill="0" applyBorder="0" applyAlignment="0" applyProtection="0"/>
    <xf numFmtId="0" fontId="10" fillId="0" borderId="0"/>
    <xf numFmtId="49" fontId="10" fillId="0" borderId="0" applyFill="0" applyBorder="0">
      <alignment horizontal="left" indent="1"/>
    </xf>
    <xf numFmtId="168" fontId="14" fillId="0" borderId="0" applyFont="0" applyFill="0" applyBorder="0">
      <alignment horizontal="left"/>
      <protection locked="0"/>
    </xf>
    <xf numFmtId="169" fontId="14" fillId="0" borderId="0" applyFont="0" applyFill="0" applyBorder="0" applyProtection="0">
      <protection locked="0"/>
    </xf>
    <xf numFmtId="49" fontId="15" fillId="0" borderId="0" applyFill="0" applyProtection="0">
      <alignment horizontal="left" indent="1"/>
    </xf>
    <xf numFmtId="0" fontId="10" fillId="8" borderId="12" applyNumberFormat="0">
      <alignment horizontal="left"/>
    </xf>
    <xf numFmtId="49" fontId="17" fillId="0" borderId="0" applyFill="0" applyBorder="0">
      <alignment horizontal="center" wrapText="1"/>
    </xf>
    <xf numFmtId="170" fontId="14" fillId="0" borderId="0" applyFont="0" applyFill="0" applyBorder="0" applyAlignment="0" applyProtection="0">
      <alignment horizontal="left"/>
      <protection locked="0"/>
    </xf>
    <xf numFmtId="0" fontId="18" fillId="9" borderId="12" applyNumberFormat="0">
      <protection locked="0"/>
    </xf>
    <xf numFmtId="0" fontId="25" fillId="0" borderId="0" applyNumberFormat="0" applyFill="0" applyBorder="0" applyAlignment="0" applyProtection="0"/>
    <xf numFmtId="0" fontId="26" fillId="0" borderId="0" applyNumberFormat="0" applyFill="0" applyAlignment="0"/>
    <xf numFmtId="0" fontId="28" fillId="11" borderId="26" applyNumberFormat="0" applyFill="0">
      <alignment horizontal="center" vertical="center" wrapText="1"/>
    </xf>
    <xf numFmtId="0" fontId="27" fillId="0" borderId="0" applyNumberFormat="0" applyFill="0" applyBorder="0" applyAlignment="0" applyProtection="0">
      <alignment vertical="top"/>
      <protection locked="0"/>
    </xf>
    <xf numFmtId="49" fontId="34" fillId="0" borderId="0" applyFill="0" applyBorder="0">
      <alignment horizontal="center" vertical="center" wrapText="1"/>
    </xf>
    <xf numFmtId="0" fontId="26" fillId="0" borderId="0" applyNumberFormat="0" applyFill="0" applyAlignment="0"/>
    <xf numFmtId="0" fontId="10" fillId="0" borderId="0">
      <alignment horizontal="right"/>
    </xf>
    <xf numFmtId="0" fontId="37" fillId="0" borderId="0" applyNumberFormat="0" applyFill="0" applyAlignment="0"/>
    <xf numFmtId="0" fontId="7" fillId="3" borderId="0" applyNumberFormat="0" applyFill="0" applyBorder="0" applyAlignment="0" applyProtection="0"/>
    <xf numFmtId="185" fontId="42" fillId="0" borderId="0" applyFont="0" applyFill="0" applyBorder="0" applyAlignment="0" applyProtection="0">
      <protection locked="0"/>
    </xf>
    <xf numFmtId="0" fontId="1" fillId="0" borderId="0"/>
    <xf numFmtId="0" fontId="5" fillId="0" borderId="0" applyFill="0" applyProtection="0">
      <alignment horizontal="left" vertical="center"/>
    </xf>
    <xf numFmtId="0" fontId="28" fillId="11" borderId="26" applyNumberFormat="0" applyFill="0">
      <alignment horizontal="center" vertical="center" wrapText="1"/>
    </xf>
    <xf numFmtId="0" fontId="21" fillId="13" borderId="32"/>
    <xf numFmtId="0" fontId="3" fillId="12" borderId="31" applyBorder="0">
      <alignment horizontal="center" vertical="center"/>
    </xf>
    <xf numFmtId="0" fontId="4" fillId="14" borderId="35"/>
    <xf numFmtId="0" fontId="1" fillId="9" borderId="35"/>
  </cellStyleXfs>
  <cellXfs count="297">
    <xf numFmtId="0" fontId="0" fillId="0" borderId="0" xfId="0"/>
    <xf numFmtId="0" fontId="5" fillId="0" borderId="0" xfId="2" applyProtection="1">
      <alignment horizontal="left" vertical="center"/>
      <protection locked="0"/>
    </xf>
    <xf numFmtId="0" fontId="6" fillId="0" borderId="0" xfId="0" applyFont="1" applyAlignment="1">
      <alignment horizontal="left"/>
    </xf>
    <xf numFmtId="0" fontId="8" fillId="0" borderId="0" xfId="3" applyFont="1" applyFill="1" applyBorder="1" applyProtection="1">
      <protection locked="0"/>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center" vertical="center" wrapText="1"/>
    </xf>
    <xf numFmtId="166" fontId="9" fillId="5" borderId="0" xfId="4" applyNumberFormat="1"/>
    <xf numFmtId="166" fontId="9" fillId="6" borderId="0" xfId="5" applyNumberFormat="1"/>
    <xf numFmtId="166" fontId="9" fillId="0" borderId="0" xfId="4" applyNumberFormat="1" applyFill="1" applyBorder="1"/>
    <xf numFmtId="166" fontId="2" fillId="0" borderId="0" xfId="1" applyNumberFormat="1" applyFill="1" applyBorder="1"/>
    <xf numFmtId="167" fontId="1" fillId="7" borderId="0" xfId="6" applyNumberFormat="1"/>
    <xf numFmtId="49" fontId="3" fillId="4" borderId="4" xfId="0" applyNumberFormat="1" applyFont="1" applyFill="1" applyBorder="1" applyAlignment="1">
      <alignment horizontal="center" vertical="center" wrapText="1"/>
    </xf>
    <xf numFmtId="0" fontId="0" fillId="0" borderId="0" xfId="0" applyAlignment="1">
      <alignment wrapText="1"/>
    </xf>
    <xf numFmtId="0" fontId="11" fillId="0" borderId="0" xfId="0" applyFont="1"/>
    <xf numFmtId="49" fontId="3" fillId="4" borderId="0" xfId="0" applyNumberFormat="1" applyFont="1" applyFill="1" applyAlignment="1">
      <alignment horizontal="center" vertical="center" wrapText="1"/>
    </xf>
    <xf numFmtId="166" fontId="9" fillId="6" borderId="0" xfId="5" applyNumberFormat="1" applyAlignment="1">
      <alignment wrapText="1"/>
    </xf>
    <xf numFmtId="0" fontId="4" fillId="0" borderId="0" xfId="0" quotePrefix="1" applyFont="1" applyAlignment="1">
      <alignment horizontal="center" vertical="center" wrapText="1"/>
    </xf>
    <xf numFmtId="49" fontId="3" fillId="0" borderId="4" xfId="0" applyNumberFormat="1" applyFont="1" applyBorder="1" applyAlignment="1">
      <alignment horizontal="center" vertical="center" wrapText="1"/>
    </xf>
    <xf numFmtId="0" fontId="10" fillId="0" borderId="8" xfId="10" applyBorder="1"/>
    <xf numFmtId="0" fontId="10" fillId="0" borderId="9" xfId="10" applyBorder="1"/>
    <xf numFmtId="0" fontId="10" fillId="0" borderId="10" xfId="10" applyBorder="1"/>
    <xf numFmtId="0" fontId="10" fillId="0" borderId="0" xfId="10"/>
    <xf numFmtId="0" fontId="6" fillId="9" borderId="1" xfId="10" applyFont="1" applyFill="1" applyBorder="1"/>
    <xf numFmtId="0" fontId="6" fillId="9" borderId="0" xfId="10" applyFont="1" applyFill="1"/>
    <xf numFmtId="0" fontId="6" fillId="9" borderId="11" xfId="10" applyFont="1" applyFill="1" applyBorder="1"/>
    <xf numFmtId="0" fontId="6" fillId="9" borderId="0" xfId="10" applyFont="1" applyFill="1" applyAlignment="1">
      <alignment horizontal="centerContinuous"/>
    </xf>
    <xf numFmtId="0" fontId="6" fillId="9" borderId="11" xfId="10" applyFont="1" applyFill="1" applyBorder="1" applyAlignment="1">
      <alignment horizontal="centerContinuous"/>
    </xf>
    <xf numFmtId="49" fontId="13" fillId="9" borderId="0" xfId="11" applyFont="1" applyFill="1" applyBorder="1" applyAlignment="1">
      <alignment horizontal="left" vertical="top" indent="1"/>
    </xf>
    <xf numFmtId="0" fontId="10" fillId="0" borderId="1" xfId="10" applyBorder="1"/>
    <xf numFmtId="0" fontId="10" fillId="0" borderId="11" xfId="10" applyBorder="1"/>
    <xf numFmtId="49" fontId="16" fillId="9" borderId="0" xfId="14" applyFont="1" applyFill="1">
      <alignment horizontal="left" indent="1"/>
    </xf>
    <xf numFmtId="0" fontId="6" fillId="9" borderId="13" xfId="10" applyFont="1" applyFill="1" applyBorder="1"/>
    <xf numFmtId="0" fontId="6" fillId="9" borderId="14" xfId="10" applyFont="1" applyFill="1" applyBorder="1"/>
    <xf numFmtId="0" fontId="6" fillId="9" borderId="15" xfId="10" applyFont="1" applyFill="1" applyBorder="1"/>
    <xf numFmtId="166" fontId="9" fillId="0" borderId="0" xfId="4" applyNumberFormat="1" applyFill="1"/>
    <xf numFmtId="166" fontId="0" fillId="0" borderId="0" xfId="0" applyNumberFormat="1"/>
    <xf numFmtId="164" fontId="9" fillId="6" borderId="0" xfId="5" applyNumberFormat="1"/>
    <xf numFmtId="0" fontId="3" fillId="4" borderId="0" xfId="0" applyFont="1" applyFill="1" applyAlignment="1">
      <alignment horizontal="center" vertical="center" wrapText="1"/>
    </xf>
    <xf numFmtId="0" fontId="0" fillId="0" borderId="17" xfId="0" applyBorder="1"/>
    <xf numFmtId="0" fontId="4" fillId="0" borderId="0" xfId="0" applyFont="1"/>
    <xf numFmtId="169" fontId="9" fillId="7" borderId="18" xfId="13" applyFont="1" applyFill="1" applyBorder="1">
      <protection locked="0"/>
      <extLst>
        <ext xmlns:xfpb="http://schemas.microsoft.com/office/spreadsheetml/2022/featurepropertybag" uri="{C7286773-470A-42A8-94C5-96B5CB345126}">
          <xfpb:xfComplement i="0"/>
        </ext>
      </extLst>
    </xf>
    <xf numFmtId="169" fontId="9" fillId="7" borderId="18" xfId="13" applyFont="1" applyFill="1" applyBorder="1">
      <protection locked="0"/>
    </xf>
    <xf numFmtId="0" fontId="19" fillId="0" borderId="0" xfId="0" applyFont="1"/>
    <xf numFmtId="0" fontId="20" fillId="0" borderId="0" xfId="0" applyFont="1"/>
    <xf numFmtId="172" fontId="9" fillId="5" borderId="0" xfId="4" applyNumberFormat="1"/>
    <xf numFmtId="0" fontId="3" fillId="4" borderId="24" xfId="0" applyFont="1" applyFill="1" applyBorder="1" applyAlignment="1">
      <alignment horizontal="center" vertical="center" wrapText="1"/>
    </xf>
    <xf numFmtId="0" fontId="9" fillId="0" borderId="0" xfId="0" applyFont="1"/>
    <xf numFmtId="0" fontId="9" fillId="0" borderId="0" xfId="0" applyFont="1" applyAlignment="1">
      <alignment wrapText="1"/>
    </xf>
    <xf numFmtId="0" fontId="21" fillId="0" borderId="0" xfId="0" applyFont="1"/>
    <xf numFmtId="172" fontId="9" fillId="5" borderId="6" xfId="4" applyNumberFormat="1" applyBorder="1"/>
    <xf numFmtId="0" fontId="22" fillId="0" borderId="0" xfId="0" applyFont="1"/>
    <xf numFmtId="172" fontId="1" fillId="7" borderId="0" xfId="6" applyNumberFormat="1"/>
    <xf numFmtId="0" fontId="5" fillId="0" borderId="0" xfId="2" applyFill="1" applyProtection="1">
      <alignment horizontal="left" vertical="center"/>
      <protection locked="0"/>
    </xf>
    <xf numFmtId="0" fontId="1" fillId="0" borderId="0" xfId="0" applyFont="1"/>
    <xf numFmtId="173" fontId="1" fillId="10" borderId="0" xfId="8" applyNumberFormat="1" applyFont="1" applyFill="1"/>
    <xf numFmtId="0" fontId="1" fillId="0" borderId="0" xfId="0" applyFont="1" applyAlignment="1">
      <alignment wrapText="1"/>
    </xf>
    <xf numFmtId="174" fontId="9" fillId="5" borderId="0" xfId="4" applyNumberFormat="1" applyAlignment="1">
      <alignment horizontal="right"/>
    </xf>
    <xf numFmtId="0" fontId="9" fillId="6" borderId="0" xfId="5"/>
    <xf numFmtId="0" fontId="8" fillId="0" borderId="0" xfId="2" applyFont="1" applyProtection="1">
      <alignment horizontal="left" vertical="center"/>
      <protection locked="0"/>
    </xf>
    <xf numFmtId="177" fontId="9" fillId="5" borderId="0" xfId="4" applyNumberFormat="1"/>
    <xf numFmtId="172" fontId="9" fillId="5" borderId="0" xfId="4" applyNumberFormat="1" applyAlignment="1">
      <alignment horizontal="left"/>
    </xf>
    <xf numFmtId="178" fontId="9" fillId="5" borderId="0" xfId="4" applyNumberFormat="1"/>
    <xf numFmtId="166" fontId="9" fillId="6" borderId="0" xfId="5" applyNumberFormat="1" applyBorder="1"/>
    <xf numFmtId="0" fontId="23" fillId="0" borderId="0" xfId="0" applyFont="1"/>
    <xf numFmtId="166" fontId="24" fillId="6" borderId="0" xfId="5" applyNumberFormat="1" applyFont="1" applyBorder="1"/>
    <xf numFmtId="166" fontId="24" fillId="6" borderId="0" xfId="5" applyNumberFormat="1" applyFont="1"/>
    <xf numFmtId="172" fontId="24" fillId="5" borderId="6" xfId="4" applyNumberFormat="1" applyFont="1" applyBorder="1"/>
    <xf numFmtId="166" fontId="9" fillId="0" borderId="0" xfId="4" applyNumberFormat="1" applyFill="1" applyAlignment="1">
      <alignment wrapText="1"/>
    </xf>
    <xf numFmtId="49" fontId="0" fillId="7" borderId="0" xfId="6" applyNumberFormat="1" applyFont="1" applyBorder="1"/>
    <xf numFmtId="49" fontId="1" fillId="7" borderId="0" xfId="6" applyNumberFormat="1" applyBorder="1"/>
    <xf numFmtId="172" fontId="9" fillId="5" borderId="0" xfId="4" applyNumberFormat="1" applyBorder="1"/>
    <xf numFmtId="174" fontId="9" fillId="5" borderId="0" xfId="4" applyNumberFormat="1"/>
    <xf numFmtId="172" fontId="1" fillId="7" borderId="0" xfId="6" applyNumberFormat="1" applyBorder="1"/>
    <xf numFmtId="174" fontId="1" fillId="7" borderId="0" xfId="6" applyNumberFormat="1"/>
    <xf numFmtId="180" fontId="1" fillId="7" borderId="0" xfId="6" applyNumberFormat="1"/>
    <xf numFmtId="182" fontId="1" fillId="7" borderId="0" xfId="6" applyNumberFormat="1"/>
    <xf numFmtId="172" fontId="9" fillId="5" borderId="0" xfId="4" applyNumberFormat="1" applyAlignment="1">
      <alignment wrapText="1"/>
    </xf>
    <xf numFmtId="172" fontId="1" fillId="7" borderId="0" xfId="6" applyNumberFormat="1" applyAlignment="1">
      <alignment wrapText="1"/>
    </xf>
    <xf numFmtId="170" fontId="1" fillId="7" borderId="0" xfId="6" applyNumberFormat="1" applyAlignment="1">
      <alignment wrapText="1"/>
    </xf>
    <xf numFmtId="172" fontId="0" fillId="7" borderId="0" xfId="6" applyNumberFormat="1" applyFont="1" applyAlignment="1">
      <alignment wrapText="1"/>
    </xf>
    <xf numFmtId="183" fontId="0" fillId="7" borderId="0" xfId="6" applyNumberFormat="1" applyFont="1"/>
    <xf numFmtId="172" fontId="0" fillId="7" borderId="0" xfId="6" applyNumberFormat="1" applyFont="1"/>
    <xf numFmtId="180" fontId="9" fillId="5" borderId="0" xfId="4" applyNumberFormat="1"/>
    <xf numFmtId="170" fontId="1" fillId="7" borderId="0" xfId="6" applyNumberFormat="1"/>
    <xf numFmtId="0" fontId="6" fillId="9" borderId="9" xfId="10" applyFont="1" applyFill="1" applyBorder="1"/>
    <xf numFmtId="49" fontId="14" fillId="9" borderId="0" xfId="10" applyNumberFormat="1" applyFont="1" applyFill="1"/>
    <xf numFmtId="170" fontId="27" fillId="9" borderId="0" xfId="17" applyFont="1" applyFill="1" applyBorder="1" applyAlignment="1" applyProtection="1"/>
    <xf numFmtId="0" fontId="28" fillId="0" borderId="0" xfId="21" applyFill="1" applyBorder="1">
      <alignment horizontal="center" vertical="center" wrapText="1"/>
    </xf>
    <xf numFmtId="0" fontId="28" fillId="0" borderId="0" xfId="21" applyFill="1" applyBorder="1" applyAlignment="1">
      <alignment horizontal="center" vertical="center"/>
    </xf>
    <xf numFmtId="0" fontId="9" fillId="0" borderId="0" xfId="10" applyFont="1" applyAlignment="1">
      <alignment horizontal="left" vertical="center" wrapText="1"/>
    </xf>
    <xf numFmtId="0" fontId="29" fillId="9" borderId="0" xfId="20" applyFont="1" applyFill="1" applyAlignment="1"/>
    <xf numFmtId="170" fontId="25" fillId="9" borderId="0" xfId="19" applyNumberFormat="1" applyFill="1" applyBorder="1" applyAlignment="1" applyProtection="1"/>
    <xf numFmtId="1" fontId="9" fillId="0" borderId="0" xfId="10" applyNumberFormat="1" applyFont="1" applyAlignment="1">
      <alignment horizontal="center" vertical="center"/>
    </xf>
    <xf numFmtId="0" fontId="6" fillId="0" borderId="0" xfId="0" applyFont="1"/>
    <xf numFmtId="179" fontId="1" fillId="7" borderId="0" xfId="6" applyNumberFormat="1"/>
    <xf numFmtId="182" fontId="9" fillId="5" borderId="0" xfId="4" applyNumberFormat="1"/>
    <xf numFmtId="49" fontId="0" fillId="7" borderId="0" xfId="6" applyNumberFormat="1" applyFont="1"/>
    <xf numFmtId="49" fontId="1" fillId="7" borderId="0" xfId="6" applyNumberFormat="1"/>
    <xf numFmtId="172" fontId="0" fillId="5" borderId="0" xfId="4" applyNumberFormat="1" applyFont="1"/>
    <xf numFmtId="172" fontId="1" fillId="7" borderId="0" xfId="9" applyNumberFormat="1" applyFill="1"/>
    <xf numFmtId="49" fontId="1" fillId="7" borderId="0" xfId="9" applyNumberFormat="1" applyFill="1"/>
    <xf numFmtId="0" fontId="30" fillId="0" borderId="8" xfId="0" applyFont="1" applyBorder="1"/>
    <xf numFmtId="0" fontId="30" fillId="0" borderId="16" xfId="0" applyFont="1" applyBorder="1"/>
    <xf numFmtId="0" fontId="31" fillId="0" borderId="1" xfId="0" applyFont="1" applyBorder="1" applyAlignment="1">
      <alignment horizontal="right"/>
    </xf>
    <xf numFmtId="0" fontId="31" fillId="0" borderId="11" xfId="0" applyFont="1" applyBorder="1" applyAlignment="1">
      <alignment horizontal="right"/>
    </xf>
    <xf numFmtId="171" fontId="6" fillId="0" borderId="1" xfId="0" applyNumberFormat="1" applyFont="1" applyBorder="1"/>
    <xf numFmtId="172" fontId="6" fillId="0" borderId="11" xfId="0" applyNumberFormat="1" applyFont="1" applyBorder="1"/>
    <xf numFmtId="0" fontId="31" fillId="0" borderId="13" xfId="0" applyFont="1" applyBorder="1"/>
    <xf numFmtId="10" fontId="6" fillId="0" borderId="6" xfId="0" applyNumberFormat="1" applyFont="1" applyBorder="1"/>
    <xf numFmtId="0" fontId="31" fillId="0" borderId="9" xfId="0" applyFont="1" applyBorder="1"/>
    <xf numFmtId="0" fontId="6" fillId="0" borderId="9" xfId="0" applyFont="1" applyBorder="1"/>
    <xf numFmtId="0" fontId="6" fillId="0" borderId="10" xfId="0" applyFont="1" applyBorder="1"/>
    <xf numFmtId="0" fontId="6" fillId="0" borderId="1" xfId="0" applyFont="1" applyBorder="1"/>
    <xf numFmtId="181" fontId="31" fillId="0" borderId="0" xfId="0" applyNumberFormat="1" applyFont="1" applyAlignment="1">
      <alignment horizontal="left" vertical="top"/>
    </xf>
    <xf numFmtId="0" fontId="31" fillId="0" borderId="0" xfId="0" applyFont="1"/>
    <xf numFmtId="181" fontId="31" fillId="0" borderId="0" xfId="0" applyNumberFormat="1" applyFont="1" applyAlignment="1">
      <alignment horizontal="right" vertical="top"/>
    </xf>
    <xf numFmtId="0" fontId="6" fillId="0" borderId="11" xfId="0" applyFont="1" applyBorder="1"/>
    <xf numFmtId="0" fontId="31" fillId="0" borderId="11" xfId="0" applyFont="1" applyBorder="1"/>
    <xf numFmtId="171" fontId="6" fillId="0" borderId="0" xfId="0" applyNumberFormat="1" applyFont="1"/>
    <xf numFmtId="172" fontId="6" fillId="0" borderId="0" xfId="0" applyNumberFormat="1" applyFont="1"/>
    <xf numFmtId="0" fontId="6" fillId="0" borderId="13" xfId="0" applyFont="1" applyBorder="1"/>
    <xf numFmtId="0" fontId="6" fillId="0" borderId="14" xfId="0" applyFont="1" applyBorder="1"/>
    <xf numFmtId="0" fontId="31" fillId="0" borderId="1" xfId="0" applyFont="1" applyBorder="1"/>
    <xf numFmtId="172" fontId="6" fillId="0" borderId="13" xfId="0" applyNumberFormat="1" applyFont="1" applyBorder="1"/>
    <xf numFmtId="0" fontId="6" fillId="0" borderId="15" xfId="0" applyFont="1" applyBorder="1"/>
    <xf numFmtId="172" fontId="6" fillId="0" borderId="1" xfId="0" applyNumberFormat="1" applyFont="1" applyBorder="1"/>
    <xf numFmtId="170" fontId="6" fillId="0" borderId="11" xfId="0" applyNumberFormat="1" applyFont="1" applyBorder="1"/>
    <xf numFmtId="170" fontId="6" fillId="0" borderId="15" xfId="0" applyNumberFormat="1" applyFont="1" applyBorder="1"/>
    <xf numFmtId="49" fontId="31" fillId="0" borderId="8" xfId="0" applyNumberFormat="1" applyFont="1" applyBorder="1"/>
    <xf numFmtId="172" fontId="6" fillId="0" borderId="16" xfId="0" applyNumberFormat="1" applyFont="1" applyBorder="1"/>
    <xf numFmtId="0" fontId="6" fillId="0" borderId="16" xfId="0" applyFont="1" applyBorder="1"/>
    <xf numFmtId="180" fontId="32" fillId="5" borderId="5" xfId="4" applyNumberFormat="1" applyFont="1" applyBorder="1"/>
    <xf numFmtId="180" fontId="32" fillId="5" borderId="6" xfId="4" applyNumberFormat="1" applyFont="1" applyBorder="1"/>
    <xf numFmtId="180" fontId="32" fillId="5" borderId="7" xfId="4" applyNumberFormat="1" applyFont="1" applyBorder="1"/>
    <xf numFmtId="172" fontId="32" fillId="5" borderId="5" xfId="4" applyNumberFormat="1" applyFont="1" applyBorder="1"/>
    <xf numFmtId="172" fontId="32" fillId="5" borderId="19" xfId="4" applyNumberFormat="1" applyFont="1" applyBorder="1"/>
    <xf numFmtId="180" fontId="4" fillId="7" borderId="5" xfId="6" applyNumberFormat="1" applyFont="1" applyBorder="1"/>
    <xf numFmtId="180" fontId="32" fillId="5" borderId="19" xfId="4" applyNumberFormat="1" applyFont="1" applyBorder="1"/>
    <xf numFmtId="180" fontId="4" fillId="7" borderId="19" xfId="6" applyNumberFormat="1" applyFont="1" applyBorder="1"/>
    <xf numFmtId="172" fontId="32" fillId="5" borderId="19" xfId="4" applyNumberFormat="1" applyFont="1" applyBorder="1" applyAlignment="1">
      <alignment wrapText="1"/>
    </xf>
    <xf numFmtId="172" fontId="32" fillId="5" borderId="6" xfId="4" applyNumberFormat="1" applyFont="1" applyBorder="1"/>
    <xf numFmtId="174" fontId="32" fillId="5" borderId="6" xfId="4" applyNumberFormat="1" applyFont="1" applyBorder="1"/>
    <xf numFmtId="174" fontId="32" fillId="5" borderId="20" xfId="4" applyNumberFormat="1" applyFont="1" applyBorder="1"/>
    <xf numFmtId="172" fontId="32" fillId="5" borderId="21" xfId="4" applyNumberFormat="1" applyFont="1" applyBorder="1"/>
    <xf numFmtId="174" fontId="32" fillId="5" borderId="22" xfId="4" applyNumberFormat="1" applyFont="1" applyBorder="1"/>
    <xf numFmtId="172" fontId="32" fillId="5" borderId="22" xfId="4" applyNumberFormat="1" applyFont="1" applyBorder="1"/>
    <xf numFmtId="174" fontId="32" fillId="5" borderId="23" xfId="4" applyNumberFormat="1" applyFont="1" applyBorder="1"/>
    <xf numFmtId="174" fontId="32" fillId="5" borderId="27" xfId="4" applyNumberFormat="1" applyFont="1" applyBorder="1"/>
    <xf numFmtId="172" fontId="32" fillId="5" borderId="28" xfId="4" applyNumberFormat="1" applyFont="1" applyBorder="1"/>
    <xf numFmtId="174" fontId="32" fillId="5" borderId="25" xfId="4" applyNumberFormat="1" applyFont="1" applyBorder="1"/>
    <xf numFmtId="174" fontId="32" fillId="5" borderId="19" xfId="4" applyNumberFormat="1" applyFont="1" applyBorder="1"/>
    <xf numFmtId="174" fontId="32" fillId="5" borderId="27" xfId="4" applyNumberFormat="1" applyFont="1" applyBorder="1" applyAlignment="1">
      <alignment wrapText="1"/>
    </xf>
    <xf numFmtId="172" fontId="4" fillId="7" borderId="27" xfId="6" applyNumberFormat="1" applyFont="1" applyBorder="1"/>
    <xf numFmtId="172" fontId="32" fillId="5" borderId="25" xfId="4" applyNumberFormat="1" applyFont="1" applyBorder="1"/>
    <xf numFmtId="174" fontId="32" fillId="5" borderId="25" xfId="4" applyNumberFormat="1" applyFont="1" applyBorder="1" applyAlignment="1">
      <alignment wrapText="1"/>
    </xf>
    <xf numFmtId="172" fontId="32" fillId="5" borderId="27" xfId="4" applyNumberFormat="1" applyFont="1" applyBorder="1" applyAlignment="1">
      <alignment wrapText="1"/>
    </xf>
    <xf numFmtId="172" fontId="32" fillId="5" borderId="25" xfId="4" applyNumberFormat="1" applyFont="1" applyBorder="1" applyAlignment="1">
      <alignment wrapText="1"/>
    </xf>
    <xf numFmtId="172" fontId="32" fillId="5" borderId="27" xfId="4" applyNumberFormat="1" applyFont="1" applyBorder="1"/>
    <xf numFmtId="172" fontId="4" fillId="7" borderId="25" xfId="6" applyNumberFormat="1" applyFont="1" applyBorder="1"/>
    <xf numFmtId="0" fontId="33" fillId="0" borderId="0" xfId="2" applyFont="1" applyProtection="1">
      <alignment horizontal="left" vertical="center"/>
      <protection locked="0"/>
    </xf>
    <xf numFmtId="172" fontId="9" fillId="0" borderId="0" xfId="4" applyNumberFormat="1" applyFill="1"/>
    <xf numFmtId="172" fontId="1" fillId="7" borderId="4" xfId="6" applyNumberFormat="1" applyBorder="1"/>
    <xf numFmtId="0" fontId="0" fillId="0" borderId="0" xfId="0" applyAlignment="1">
      <alignment horizontal="left"/>
    </xf>
    <xf numFmtId="0" fontId="0" fillId="9" borderId="0" xfId="15" applyNumberFormat="1" applyFont="1" applyFill="1" applyBorder="1" applyAlignment="1">
      <alignment horizontal="left" vertical="top" wrapText="1"/>
    </xf>
    <xf numFmtId="0" fontId="35" fillId="9" borderId="30" xfId="25" applyFont="1" applyFill="1" applyBorder="1" applyAlignment="1">
      <alignment vertical="top" wrapText="1"/>
    </xf>
    <xf numFmtId="0" fontId="36" fillId="9" borderId="30" xfId="24" applyFont="1" applyFill="1" applyBorder="1" applyAlignment="1">
      <alignment horizontal="left" vertical="top"/>
    </xf>
    <xf numFmtId="0" fontId="34" fillId="9" borderId="30" xfId="25" applyFont="1" applyFill="1" applyBorder="1" applyAlignment="1">
      <alignment vertical="top" wrapText="1"/>
    </xf>
    <xf numFmtId="0" fontId="0" fillId="9" borderId="30" xfId="0" applyFill="1" applyBorder="1" applyAlignment="1">
      <alignment horizontal="left" vertical="top" wrapText="1"/>
    </xf>
    <xf numFmtId="0" fontId="36" fillId="9" borderId="30" xfId="26" applyFont="1" applyFill="1" applyBorder="1" applyAlignment="1">
      <alignment horizontal="left" vertical="top"/>
    </xf>
    <xf numFmtId="0" fontId="35" fillId="0" borderId="30" xfId="25" applyFont="1" applyBorder="1" applyAlignment="1">
      <alignment vertical="top" wrapText="1"/>
    </xf>
    <xf numFmtId="0" fontId="38" fillId="9" borderId="30" xfId="0" applyFont="1" applyFill="1" applyBorder="1" applyAlignment="1">
      <alignment horizontal="left" vertical="top" wrapText="1"/>
    </xf>
    <xf numFmtId="0" fontId="36" fillId="9" borderId="30" xfId="20" applyFont="1" applyFill="1" applyBorder="1" applyAlignment="1">
      <alignment horizontal="left" vertical="top"/>
    </xf>
    <xf numFmtId="0" fontId="34" fillId="9" borderId="30" xfId="0" applyFont="1" applyFill="1" applyBorder="1" applyAlignment="1">
      <alignment horizontal="left" vertical="top" wrapText="1"/>
    </xf>
    <xf numFmtId="0" fontId="34" fillId="9" borderId="30" xfId="25" applyFont="1" applyFill="1" applyBorder="1" applyAlignment="1">
      <alignment horizontal="left"/>
    </xf>
    <xf numFmtId="49" fontId="34" fillId="9" borderId="30" xfId="23" applyFill="1" applyBorder="1" applyAlignment="1"/>
    <xf numFmtId="49" fontId="39" fillId="9" borderId="29" xfId="23" applyFont="1" applyFill="1" applyBorder="1" applyAlignment="1"/>
    <xf numFmtId="172" fontId="9" fillId="5" borderId="16" xfId="4" applyNumberFormat="1" applyBorder="1"/>
    <xf numFmtId="49" fontId="40" fillId="9" borderId="0" xfId="11" applyFont="1" applyFill="1" applyBorder="1" applyAlignment="1">
      <alignment horizontal="left" vertical="top" indent="1"/>
    </xf>
    <xf numFmtId="172" fontId="9" fillId="0" borderId="0" xfId="4" applyNumberFormat="1" applyFill="1" applyBorder="1"/>
    <xf numFmtId="49" fontId="41" fillId="9" borderId="0" xfId="11" applyFont="1" applyFill="1" applyBorder="1" applyAlignment="1">
      <alignment horizontal="left" vertical="top" indent="1"/>
    </xf>
    <xf numFmtId="0" fontId="34" fillId="9" borderId="30" xfId="0" applyFont="1" applyFill="1" applyBorder="1" applyAlignment="1">
      <alignment horizontal="left" vertical="top" wrapText="1" indent="2"/>
    </xf>
    <xf numFmtId="0" fontId="35" fillId="7" borderId="3" xfId="6" applyFont="1" applyBorder="1" applyAlignment="1">
      <alignment horizontal="left"/>
    </xf>
    <xf numFmtId="0" fontId="35" fillId="5" borderId="3" xfId="4" applyNumberFormat="1" applyFont="1" applyBorder="1" applyAlignment="1">
      <alignment horizontal="left"/>
    </xf>
    <xf numFmtId="0" fontId="35" fillId="6" borderId="3" xfId="5" applyFont="1" applyBorder="1" applyAlignment="1">
      <alignment horizontal="left"/>
    </xf>
    <xf numFmtId="0" fontId="34" fillId="9" borderId="30" xfId="0" applyFont="1" applyFill="1" applyBorder="1" applyAlignment="1">
      <alignment horizontal="left" vertical="top"/>
    </xf>
    <xf numFmtId="0" fontId="31" fillId="0" borderId="13" xfId="0" applyFont="1" applyBorder="1" applyAlignment="1">
      <alignment wrapText="1"/>
    </xf>
    <xf numFmtId="0" fontId="31" fillId="0" borderId="15" xfId="0" applyFont="1" applyBorder="1" applyAlignment="1">
      <alignment wrapText="1"/>
    </xf>
    <xf numFmtId="0" fontId="39" fillId="9" borderId="1" xfId="0" applyFont="1" applyFill="1" applyBorder="1" applyAlignment="1">
      <alignment horizontal="centerContinuous"/>
    </xf>
    <xf numFmtId="0" fontId="43" fillId="9" borderId="1" xfId="0" applyFont="1" applyFill="1" applyBorder="1" applyAlignment="1">
      <alignment horizontal="centerContinuous"/>
    </xf>
    <xf numFmtId="172" fontId="32" fillId="5" borderId="6" xfId="4" applyNumberFormat="1" applyFont="1" applyBorder="1" applyAlignment="1">
      <alignment horizontal="right"/>
    </xf>
    <xf numFmtId="174" fontId="32" fillId="5" borderId="6" xfId="4" applyNumberFormat="1" applyFont="1" applyBorder="1" applyAlignment="1">
      <alignment horizontal="right"/>
    </xf>
    <xf numFmtId="0" fontId="9" fillId="6" borderId="0" xfId="5" applyBorder="1"/>
    <xf numFmtId="178" fontId="32" fillId="5" borderId="5" xfId="4" applyNumberFormat="1" applyFont="1" applyBorder="1"/>
    <xf numFmtId="178" fontId="32" fillId="5" borderId="6" xfId="4" applyNumberFormat="1" applyFont="1" applyBorder="1"/>
    <xf numFmtId="166" fontId="32" fillId="5" borderId="6" xfId="4" applyNumberFormat="1" applyFont="1" applyBorder="1"/>
    <xf numFmtId="0" fontId="31" fillId="9" borderId="1" xfId="10" applyFont="1" applyFill="1" applyBorder="1" applyAlignment="1">
      <alignment horizontal="centerContinuous"/>
    </xf>
    <xf numFmtId="0" fontId="44" fillId="9" borderId="1" xfId="10" applyFont="1" applyFill="1" applyBorder="1" applyAlignment="1">
      <alignment horizontal="centerContinuous"/>
    </xf>
    <xf numFmtId="184" fontId="1" fillId="7" borderId="0" xfId="6" applyNumberFormat="1"/>
    <xf numFmtId="175" fontId="1" fillId="7" borderId="3" xfId="6" applyNumberFormat="1" applyBorder="1"/>
    <xf numFmtId="176" fontId="1" fillId="7" borderId="0" xfId="6" applyNumberFormat="1"/>
    <xf numFmtId="0" fontId="1" fillId="7" borderId="0" xfId="6"/>
    <xf numFmtId="166" fontId="1" fillId="7" borderId="0" xfId="6" applyNumberFormat="1"/>
    <xf numFmtId="178" fontId="1" fillId="7" borderId="0" xfId="6" applyNumberFormat="1"/>
    <xf numFmtId="179" fontId="9" fillId="5" borderId="0" xfId="4" applyNumberFormat="1" applyBorder="1"/>
    <xf numFmtId="172" fontId="32" fillId="5" borderId="5" xfId="4" applyNumberFormat="1" applyFont="1" applyBorder="1" applyAlignment="1">
      <alignment horizontal="right"/>
    </xf>
    <xf numFmtId="0" fontId="33" fillId="0" borderId="0" xfId="0" applyFont="1"/>
    <xf numFmtId="170" fontId="0" fillId="7" borderId="0" xfId="6" applyNumberFormat="1" applyFont="1"/>
    <xf numFmtId="0" fontId="3" fillId="12" borderId="31" xfId="0" applyFont="1" applyFill="1" applyBorder="1" applyAlignment="1">
      <alignment horizontal="center" vertical="center"/>
    </xf>
    <xf numFmtId="0" fontId="3" fillId="12" borderId="4" xfId="0" applyFont="1" applyFill="1" applyBorder="1" applyAlignment="1">
      <alignment horizontal="center" vertical="center"/>
    </xf>
    <xf numFmtId="0" fontId="21" fillId="13" borderId="32" xfId="0" applyFont="1" applyFill="1" applyBorder="1"/>
    <xf numFmtId="0" fontId="21" fillId="13" borderId="33" xfId="0" applyFont="1" applyFill="1" applyBorder="1"/>
    <xf numFmtId="0" fontId="21" fillId="13" borderId="34" xfId="0" applyFont="1" applyFill="1" applyBorder="1"/>
    <xf numFmtId="0" fontId="21" fillId="13" borderId="32" xfId="32"/>
    <xf numFmtId="0" fontId="3" fillId="12" borderId="31" xfId="33">
      <alignment horizontal="center" vertical="center"/>
    </xf>
    <xf numFmtId="0" fontId="4" fillId="14" borderId="35" xfId="0" applyFont="1" applyFill="1" applyBorder="1"/>
    <xf numFmtId="0" fontId="0" fillId="9" borderId="35" xfId="0" applyFill="1" applyBorder="1"/>
    <xf numFmtId="0" fontId="4" fillId="14" borderId="35" xfId="34"/>
    <xf numFmtId="0" fontId="1" fillId="9" borderId="35" xfId="35"/>
    <xf numFmtId="0" fontId="3" fillId="12" borderId="2" xfId="33" applyBorder="1">
      <alignment horizontal="center" vertical="center"/>
    </xf>
    <xf numFmtId="0" fontId="3" fillId="12" borderId="3" xfId="33" applyBorder="1">
      <alignment horizontal="center" vertical="center"/>
    </xf>
    <xf numFmtId="0" fontId="3" fillId="12" borderId="4" xfId="33" applyBorder="1">
      <alignment horizontal="center" vertical="center"/>
    </xf>
    <xf numFmtId="0" fontId="43" fillId="0" borderId="0" xfId="0" applyFont="1"/>
    <xf numFmtId="172" fontId="0" fillId="0" borderId="0" xfId="0" applyNumberFormat="1" applyAlignment="1">
      <alignment wrapText="1"/>
    </xf>
    <xf numFmtId="172" fontId="9" fillId="0" borderId="0" xfId="4" applyNumberFormat="1" applyFill="1" applyAlignment="1">
      <alignment wrapText="1"/>
    </xf>
    <xf numFmtId="0" fontId="21" fillId="13" borderId="37" xfId="32" applyBorder="1"/>
    <xf numFmtId="179" fontId="9" fillId="0" borderId="0" xfId="4" applyNumberFormat="1" applyFill="1" applyBorder="1" applyAlignment="1">
      <alignment wrapText="1"/>
    </xf>
    <xf numFmtId="172" fontId="9" fillId="0" borderId="0" xfId="4" applyNumberFormat="1" applyFill="1" applyBorder="1" applyAlignment="1">
      <alignment wrapText="1"/>
    </xf>
    <xf numFmtId="49" fontId="15" fillId="9" borderId="0" xfId="14" applyFill="1">
      <alignment horizontal="left" indent="1"/>
    </xf>
    <xf numFmtId="170" fontId="0" fillId="9" borderId="0" xfId="0" applyNumberFormat="1" applyFill="1" applyAlignment="1">
      <alignment wrapText="1"/>
    </xf>
    <xf numFmtId="170" fontId="9" fillId="9" borderId="0" xfId="4" applyNumberFormat="1" applyFill="1" applyBorder="1" applyAlignment="1">
      <alignment wrapText="1"/>
    </xf>
    <xf numFmtId="182" fontId="9" fillId="0" borderId="0" xfId="4" applyNumberFormat="1" applyFill="1"/>
    <xf numFmtId="172" fontId="1" fillId="0" borderId="0" xfId="6" applyNumberFormat="1" applyFill="1"/>
    <xf numFmtId="172" fontId="9" fillId="9" borderId="0" xfId="4" applyNumberFormat="1" applyFill="1" applyAlignment="1">
      <alignment wrapText="1"/>
    </xf>
    <xf numFmtId="0" fontId="0" fillId="9" borderId="0" xfId="0" applyFill="1"/>
    <xf numFmtId="172" fontId="9" fillId="9" borderId="0" xfId="4" applyNumberFormat="1" applyFill="1" applyBorder="1" applyAlignment="1">
      <alignment wrapText="1"/>
    </xf>
    <xf numFmtId="0" fontId="21" fillId="9" borderId="0" xfId="32" applyFill="1" applyBorder="1"/>
    <xf numFmtId="0" fontId="19" fillId="9" borderId="0" xfId="0" applyFont="1" applyFill="1"/>
    <xf numFmtId="49" fontId="0" fillId="9" borderId="0" xfId="9" applyNumberFormat="1" applyFont="1" applyFill="1" applyAlignment="1">
      <alignment wrapText="1"/>
    </xf>
    <xf numFmtId="172" fontId="0" fillId="9" borderId="0" xfId="9" applyNumberFormat="1" applyFont="1" applyFill="1" applyAlignment="1">
      <alignment wrapText="1"/>
    </xf>
    <xf numFmtId="49" fontId="11" fillId="9" borderId="0" xfId="9" applyNumberFormat="1" applyFont="1" applyFill="1" applyAlignment="1">
      <alignment wrapText="1"/>
    </xf>
    <xf numFmtId="172" fontId="11" fillId="9" borderId="0" xfId="9" applyNumberFormat="1" applyFont="1" applyFill="1" applyAlignment="1">
      <alignment wrapText="1"/>
    </xf>
    <xf numFmtId="49" fontId="0" fillId="0" borderId="0" xfId="0" applyNumberFormat="1"/>
    <xf numFmtId="49" fontId="9" fillId="0" borderId="0" xfId="4" applyNumberFormat="1" applyFill="1"/>
    <xf numFmtId="49" fontId="9" fillId="0" borderId="0" xfId="4" applyNumberFormat="1" applyFill="1" applyAlignment="1">
      <alignment wrapText="1"/>
    </xf>
    <xf numFmtId="0" fontId="32" fillId="14" borderId="36" xfId="34" applyFont="1" applyBorder="1"/>
    <xf numFmtId="173" fontId="0" fillId="0" borderId="0" xfId="0" applyNumberFormat="1"/>
    <xf numFmtId="172" fontId="1" fillId="9" borderId="0" xfId="6" applyNumberFormat="1" applyFill="1"/>
    <xf numFmtId="166" fontId="21" fillId="0" borderId="0" xfId="0" applyNumberFormat="1" applyFont="1"/>
    <xf numFmtId="178" fontId="21" fillId="0" borderId="0" xfId="0" applyNumberFormat="1" applyFont="1"/>
    <xf numFmtId="178" fontId="0" fillId="0" borderId="0" xfId="0" applyNumberFormat="1"/>
    <xf numFmtId="0" fontId="1" fillId="9" borderId="0" xfId="6" applyFill="1"/>
    <xf numFmtId="0" fontId="21" fillId="9" borderId="37" xfId="32" applyFill="1" applyBorder="1"/>
    <xf numFmtId="166" fontId="0" fillId="9" borderId="0" xfId="0" applyNumberFormat="1" applyFill="1"/>
    <xf numFmtId="0" fontId="0" fillId="9" borderId="35" xfId="35" applyFont="1"/>
    <xf numFmtId="0" fontId="46" fillId="9" borderId="0" xfId="0" applyFont="1" applyFill="1"/>
    <xf numFmtId="0" fontId="23" fillId="9" borderId="0" xfId="0" applyFont="1" applyFill="1"/>
    <xf numFmtId="166" fontId="23" fillId="9" borderId="0" xfId="0" applyNumberFormat="1" applyFont="1" applyFill="1"/>
    <xf numFmtId="166" fontId="23" fillId="9" borderId="0" xfId="6" applyNumberFormat="1" applyFont="1" applyFill="1"/>
    <xf numFmtId="0" fontId="1" fillId="9" borderId="35" xfId="35" applyAlignment="1">
      <alignment wrapText="1"/>
    </xf>
    <xf numFmtId="0" fontId="21" fillId="13" borderId="32" xfId="32" applyAlignment="1">
      <alignment horizontal="left" vertical="top" wrapText="1"/>
    </xf>
    <xf numFmtId="0" fontId="1" fillId="9" borderId="35" xfId="35" applyAlignment="1">
      <alignment horizontal="left" vertical="top" wrapText="1"/>
    </xf>
    <xf numFmtId="0" fontId="1" fillId="9" borderId="35" xfId="35" applyAlignment="1">
      <alignment horizontal="left" vertical="top"/>
    </xf>
    <xf numFmtId="0" fontId="21" fillId="13" borderId="32" xfId="32" applyAlignment="1">
      <alignment horizontal="center" vertical="top" wrapText="1"/>
    </xf>
    <xf numFmtId="0" fontId="1" fillId="0" borderId="0" xfId="0" applyFont="1" applyAlignment="1">
      <alignment vertical="center"/>
    </xf>
    <xf numFmtId="0" fontId="1" fillId="0" borderId="0" xfId="0" applyFont="1" applyAlignment="1">
      <alignment vertical="top"/>
    </xf>
    <xf numFmtId="0" fontId="3" fillId="12" borderId="3" xfId="33" applyBorder="1" applyAlignment="1">
      <alignment horizontal="center" vertical="top"/>
    </xf>
    <xf numFmtId="0" fontId="21" fillId="9" borderId="32" xfId="32" applyFill="1"/>
    <xf numFmtId="0" fontId="4" fillId="14" borderId="35" xfId="34" applyAlignment="1">
      <alignment wrapText="1"/>
    </xf>
    <xf numFmtId="0" fontId="1" fillId="9" borderId="35" xfId="35" applyAlignment="1">
      <alignment vertical="center" wrapText="1"/>
    </xf>
    <xf numFmtId="176" fontId="1" fillId="7" borderId="0" xfId="6" applyNumberFormat="1" applyAlignment="1">
      <alignment vertical="center"/>
    </xf>
    <xf numFmtId="166" fontId="9" fillId="6" borderId="0" xfId="5" applyNumberFormat="1" applyAlignment="1">
      <alignment vertical="center"/>
    </xf>
    <xf numFmtId="0" fontId="1" fillId="9" borderId="35" xfId="35" applyAlignment="1">
      <alignment vertical="center"/>
    </xf>
    <xf numFmtId="166" fontId="1" fillId="7" borderId="0" xfId="6" applyNumberFormat="1" applyAlignment="1">
      <alignment vertical="center"/>
    </xf>
    <xf numFmtId="0" fontId="4" fillId="14" borderId="35" xfId="34" applyAlignment="1">
      <alignment vertical="center" wrapText="1"/>
    </xf>
    <xf numFmtId="0" fontId="4" fillId="14" borderId="35" xfId="34" applyAlignment="1">
      <alignment vertical="center"/>
    </xf>
    <xf numFmtId="177" fontId="9" fillId="5" borderId="0" xfId="4" applyNumberFormat="1" applyAlignment="1">
      <alignment vertical="center"/>
    </xf>
    <xf numFmtId="172" fontId="9" fillId="5" borderId="0" xfId="4" applyNumberFormat="1" applyAlignment="1">
      <alignment vertical="center"/>
    </xf>
    <xf numFmtId="172" fontId="1" fillId="7" borderId="0" xfId="6" applyNumberFormat="1" applyAlignment="1">
      <alignment vertical="center"/>
    </xf>
    <xf numFmtId="0" fontId="21" fillId="13" borderId="32" xfId="32" applyAlignment="1">
      <alignment vertical="center"/>
    </xf>
    <xf numFmtId="0" fontId="0" fillId="9" borderId="35" xfId="35" applyFont="1" applyAlignment="1">
      <alignment vertical="center" wrapText="1"/>
    </xf>
    <xf numFmtId="0" fontId="45" fillId="13" borderId="32" xfId="32" applyFont="1"/>
    <xf numFmtId="0" fontId="8" fillId="9" borderId="0" xfId="2" applyFont="1" applyFill="1" applyProtection="1">
      <alignment horizontal="left" vertical="center"/>
      <protection locked="0"/>
    </xf>
    <xf numFmtId="0" fontId="4" fillId="9" borderId="35" xfId="34" applyFill="1"/>
    <xf numFmtId="174" fontId="32" fillId="9" borderId="0" xfId="4" applyNumberFormat="1" applyFont="1" applyFill="1" applyBorder="1"/>
    <xf numFmtId="0" fontId="3" fillId="12" borderId="24" xfId="33" applyBorder="1">
      <alignment horizontal="center" vertical="center"/>
    </xf>
    <xf numFmtId="0" fontId="3" fillId="4" borderId="38" xfId="0" applyFont="1" applyFill="1" applyBorder="1" applyAlignment="1">
      <alignment horizontal="center" vertical="center" wrapText="1"/>
    </xf>
    <xf numFmtId="168" fontId="0" fillId="7" borderId="16" xfId="6" applyNumberFormat="1" applyFont="1" applyBorder="1" applyProtection="1">
      <protection locked="0"/>
    </xf>
    <xf numFmtId="0" fontId="47" fillId="0" borderId="0" xfId="0" applyFont="1"/>
    <xf numFmtId="0" fontId="48" fillId="0" borderId="0" xfId="0" applyFont="1"/>
    <xf numFmtId="0" fontId="49" fillId="0" borderId="0" xfId="0" applyFont="1"/>
    <xf numFmtId="0" fontId="50" fillId="0" borderId="0" xfId="2" applyFont="1" applyFill="1" applyProtection="1">
      <alignment horizontal="left" vertical="center"/>
      <protection locked="0"/>
    </xf>
    <xf numFmtId="0" fontId="50" fillId="0" borderId="0" xfId="2" applyFont="1" applyProtection="1">
      <alignment horizontal="left" vertical="center"/>
      <protection locked="0"/>
    </xf>
    <xf numFmtId="0" fontId="51" fillId="0" borderId="0" xfId="2" applyFont="1" applyProtection="1">
      <alignment horizontal="left" vertical="center"/>
      <protection locked="0"/>
    </xf>
    <xf numFmtId="0" fontId="19" fillId="0" borderId="0" xfId="0" applyFont="1" applyAlignment="1">
      <alignment horizontal="left" vertical="top" wrapText="1"/>
    </xf>
  </cellXfs>
  <cellStyles count="36">
    <cellStyle name="Blank" xfId="5" xr:uid="{0C860041-5FE9-4FC3-B878-8AFBAAFD680E}"/>
    <cellStyle name="Comma" xfId="9" builtinId="3"/>
    <cellStyle name="Context_column_title" xfId="33" xr:uid="{D9B94F60-37F7-4111-9FF4-29324D80C55E}"/>
    <cellStyle name="Context_columns" xfId="32" xr:uid="{DF3514F9-7EDA-42F9-B15E-EEF07968EAAA}"/>
    <cellStyle name="Data Input" xfId="18" xr:uid="{EA2C897C-E833-467F-AEB3-61B4B40FD4B9}"/>
    <cellStyle name="Data Rows" xfId="7" xr:uid="{89E07CD5-9B91-4D45-8DCE-4640BF64EF95}"/>
    <cellStyle name="Data_Entry" xfId="6" xr:uid="{A6307725-403C-477F-B71A-25B9CFD384E2}"/>
    <cellStyle name="Date" xfId="13" xr:uid="{C2207D23-A5D2-45A3-A80A-5A26B0C4144F}"/>
    <cellStyle name="Explanatory text 2" xfId="14" xr:uid="{D1B8661D-833F-4E3F-A7F9-595FC9F8DBE7}"/>
    <cellStyle name="Formula" xfId="4" xr:uid="{CD9EFC95-5546-4E8D-8B39-CDB288BC5CFB}"/>
    <cellStyle name="Header 1" xfId="3" xr:uid="{E2A94D99-8565-4A87-A043-C5652D20A967}"/>
    <cellStyle name="Header 1 2" xfId="27" xr:uid="{6A733750-A6F7-4BC4-A666-D844EAB1D78A}"/>
    <cellStyle name="Heading (guidelines)" xfId="24" xr:uid="{D6825DCE-D635-4CC5-95BB-5A96E02B5177}"/>
    <cellStyle name="Heading 1 2" xfId="20" xr:uid="{0F96DCB9-2431-40FD-A5DB-8E6EDF6FEDA8}"/>
    <cellStyle name="Heading 1 3" xfId="26" xr:uid="{7A8707D4-4510-42F6-ABDA-413C5B2C8F0A}"/>
    <cellStyle name="Hyperlink" xfId="19" builtinId="8"/>
    <cellStyle name="Hyperlink 2" xfId="22" xr:uid="{28C73060-4E63-42BC-85A2-5A69AF883BF3}"/>
    <cellStyle name="Key_category_row" xfId="34" xr:uid="{32A72016-0DC5-48C0-A793-C444ECB12AB6}"/>
    <cellStyle name="Label 2a" xfId="16" xr:uid="{E7D8A5A0-1E09-4B01-8612-A48B491C4543}"/>
    <cellStyle name="Label 2b" xfId="11" xr:uid="{3B658973-BDDA-4C79-BDFB-25513448F944}"/>
    <cellStyle name="Label 2b merged" xfId="23" xr:uid="{7E391EFE-795D-4B96-A23A-6B34EA0E8765}"/>
    <cellStyle name="Link" xfId="15" xr:uid="{0350FEF0-BCC1-439C-B544-1CB7C6E04112}"/>
    <cellStyle name="Long Date" xfId="28" xr:uid="{844C16D3-93F0-4FAA-AE0E-6E22051DEEDC}"/>
    <cellStyle name="Neutral" xfId="1" builtinId="28"/>
    <cellStyle name="Normal" xfId="0" builtinId="0"/>
    <cellStyle name="Normal 2" xfId="10" xr:uid="{96E2EE89-B953-442F-B5F1-6B5738FF5EA9}"/>
    <cellStyle name="Normal 3 2" xfId="29" xr:uid="{0E1BE3C6-CD24-40EB-951E-92989B5BEB53}"/>
    <cellStyle name="Normal 4" xfId="25" xr:uid="{C94EE19C-4A92-4E51-8747-97C201E6149E}"/>
    <cellStyle name="Percent" xfId="8" builtinId="5"/>
    <cellStyle name="Sch_TItle" xfId="2" xr:uid="{505FB57A-CA7E-473B-ADA8-1CC46E030D3F}"/>
    <cellStyle name="sheet_header" xfId="30" xr:uid="{9995D189-8C1B-48E1-83BD-BED637D5BC31}"/>
    <cellStyle name="Standard_category_row" xfId="35" xr:uid="{062AE0B7-C476-4430-B2C4-5E8FCFE730B4}"/>
    <cellStyle name="table_headers" xfId="31" xr:uid="{BF571107-5312-44B4-9C4E-5C3C687F52A8}"/>
    <cellStyle name="table_headers 2" xfId="21" xr:uid="{B9AA318F-3917-4CC0-BA0E-1AAF3CB739BE}"/>
    <cellStyle name="Text" xfId="17" xr:uid="{3E6EB6B2-123C-43C6-9589-FD31E79E681D}"/>
    <cellStyle name="Text rjustify" xfId="12" xr:uid="{BBD332C4-BBF9-4676-B4DF-E945AC32E251}"/>
  </cellStyles>
  <dxfs count="426">
    <dxf>
      <font>
        <strike val="0"/>
        <outline val="0"/>
        <shadow val="0"/>
        <u val="none"/>
        <vertAlign val="baseline"/>
        <name val="Calibri"/>
        <family val="2"/>
        <scheme val="minor"/>
      </font>
      <fill>
        <patternFill patternType="none">
          <fgColor indexed="64"/>
          <bgColor auto="1"/>
        </patternFill>
      </fill>
    </dxf>
    <dxf>
      <alignment horizontal="left" vertical="top" textRotation="0" indent="0" justifyLastLine="0" shrinkToFit="0" readingOrder="0"/>
    </dxf>
    <dxf>
      <alignment horizontal="left" vertical="top" textRotation="0" indent="0" justifyLastLine="0" shrinkToFit="0" readingOrder="0"/>
    </dxf>
    <dxf>
      <alignment horizontal="center" vertical="top" textRotation="0" wrapText="1" indent="0" justifyLastLine="0" shrinkToFit="0" readingOrder="0"/>
    </dxf>
    <dxf>
      <alignment horizontal="left" vertical="top" textRotation="0" wrapText="1" indent="0" justifyLastLine="0" shrinkToFit="0" readingOrder="0"/>
      <border outline="0">
        <right style="thin">
          <color theme="2" tint="-9.9978637043366805E-2"/>
        </right>
      </border>
    </dxf>
    <dxf>
      <font>
        <strike val="0"/>
        <outline val="0"/>
        <shadow val="0"/>
        <u val="none"/>
        <vertAlign val="baseline"/>
        <name val="Calibri"/>
        <family val="2"/>
        <scheme val="minor"/>
      </font>
      <fill>
        <patternFill patternType="none">
          <fgColor indexed="64"/>
          <bgColor auto="1"/>
        </patternFill>
      </fill>
    </dxf>
    <dxf>
      <font>
        <strike val="0"/>
        <outline val="0"/>
        <shadow val="0"/>
        <u val="none"/>
        <vertAlign val="baseline"/>
        <name val="Calibri"/>
        <family val="2"/>
        <scheme val="minor"/>
      </font>
    </dxf>
    <dxf>
      <font>
        <strike val="0"/>
        <outline val="0"/>
        <shadow val="0"/>
        <u val="none"/>
        <vertAlign val="baseline"/>
        <name val="Calibri "/>
        <scheme val="none"/>
      </font>
      <numFmt numFmtId="166" formatCode="#,##0\ ;\(#,##0\);\-"/>
    </dxf>
    <dxf>
      <font>
        <strike val="0"/>
        <outline val="0"/>
        <shadow val="0"/>
        <u val="none"/>
        <vertAlign val="baseline"/>
        <name val="Calibri "/>
        <scheme val="none"/>
      </font>
      <numFmt numFmtId="166" formatCode="#,##0\ ;\(#,##0\);\-"/>
    </dxf>
    <dxf>
      <font>
        <strike val="0"/>
        <outline val="0"/>
        <shadow val="0"/>
        <u val="none"/>
        <vertAlign val="baseline"/>
        <name val="Calibri "/>
        <scheme val="none"/>
      </font>
    </dxf>
    <dxf>
      <font>
        <strike val="0"/>
        <outline val="0"/>
        <shadow val="0"/>
        <u val="none"/>
        <vertAlign val="baseline"/>
        <name val="Calibri "/>
        <scheme val="none"/>
      </font>
    </dxf>
    <dxf>
      <font>
        <strike val="0"/>
        <outline val="0"/>
        <shadow val="0"/>
        <u val="none"/>
        <vertAlign val="baseline"/>
        <name val="Calibri "/>
        <scheme val="none"/>
      </font>
    </dxf>
    <dxf>
      <font>
        <strike val="0"/>
        <outline val="0"/>
        <shadow val="0"/>
        <u val="none"/>
        <vertAlign val="baseline"/>
        <name val="Calibri"/>
        <family val="2"/>
        <scheme val="minor"/>
      </font>
    </dxf>
    <dxf>
      <font>
        <strike val="0"/>
        <outline val="0"/>
        <shadow val="0"/>
        <u val="none"/>
        <vertAlign val="baseline"/>
        <name val="Calibri"/>
        <family val="2"/>
        <scheme val="minor"/>
      </font>
    </dxf>
    <dxf>
      <font>
        <strike val="0"/>
        <outline val="0"/>
        <shadow val="0"/>
        <u val="none"/>
        <vertAlign val="baseline"/>
        <name val="Calibri"/>
        <family val="2"/>
        <scheme val="minor"/>
      </font>
      <numFmt numFmtId="166" formatCode="#,##0\ ;\(#,##0\);\-"/>
    </dxf>
    <dxf>
      <font>
        <strike val="0"/>
        <outline val="0"/>
        <shadow val="0"/>
        <u val="none"/>
        <vertAlign val="baseline"/>
        <name val="Calibri"/>
        <family val="2"/>
        <scheme val="minor"/>
      </font>
      <numFmt numFmtId="166" formatCode="#,##0\ ;\(#,##0\);\-"/>
    </dxf>
    <dxf>
      <font>
        <strike val="0"/>
        <outline val="0"/>
        <shadow val="0"/>
        <u val="none"/>
        <vertAlign val="baseline"/>
        <name val="Calibri"/>
        <family val="2"/>
        <scheme val="minor"/>
      </font>
    </dxf>
    <dxf>
      <font>
        <strike val="0"/>
        <outline val="0"/>
        <shadow val="0"/>
        <u val="none"/>
        <vertAlign val="baseline"/>
        <name val="Calibri"/>
        <family val="2"/>
        <scheme val="minor"/>
      </font>
    </dxf>
    <dxf>
      <font>
        <strike val="0"/>
        <outline val="0"/>
        <shadow val="0"/>
        <u val="none"/>
        <vertAlign val="baseline"/>
        <name val="Calibri"/>
        <family val="2"/>
        <scheme val="minor"/>
      </font>
    </dxf>
    <dxf>
      <font>
        <strike val="0"/>
        <outline val="0"/>
        <shadow val="0"/>
        <u val="none"/>
        <vertAlign val="baseline"/>
        <name val="Calibri"/>
        <family val="2"/>
        <scheme val="minor"/>
      </font>
      <numFmt numFmtId="166" formatCode="#,##0\ ;\(#,##0\);\-"/>
    </dxf>
    <dxf>
      <font>
        <strike val="0"/>
        <outline val="0"/>
        <shadow val="0"/>
        <u val="none"/>
        <vertAlign val="baseline"/>
        <name val="Calibri"/>
        <family val="2"/>
        <scheme val="minor"/>
      </font>
      <numFmt numFmtId="166" formatCode="#,##0\ ;\(#,##0\);\-"/>
    </dxf>
    <dxf>
      <font>
        <strike val="0"/>
        <outline val="0"/>
        <shadow val="0"/>
        <u val="none"/>
        <vertAlign val="baseline"/>
        <name val="Calibri"/>
        <family val="2"/>
        <scheme val="minor"/>
      </font>
    </dxf>
    <dxf>
      <font>
        <strike val="0"/>
        <outline val="0"/>
        <shadow val="0"/>
        <u val="none"/>
        <vertAlign val="baseline"/>
        <name val="Calibri"/>
        <family val="2"/>
        <scheme val="minor"/>
      </font>
    </dxf>
    <dxf>
      <font>
        <b/>
        <i val="0"/>
        <strike val="0"/>
        <condense val="0"/>
        <extend val="0"/>
        <outline val="0"/>
        <shadow val="0"/>
        <u val="none"/>
        <vertAlign val="baseline"/>
        <sz val="11"/>
        <color auto="1"/>
        <name val="Calibri"/>
        <family val="2"/>
        <scheme val="minor"/>
      </font>
      <numFmt numFmtId="174" formatCode="_(* #,##0_);_(* \(#,##0\);_(* &quot;–&quot;??_);_(@_)"/>
      <fill>
        <patternFill patternType="solid">
          <fgColor indexed="64"/>
          <bgColor theme="0" tint="-0.14996795556505021"/>
        </patternFill>
      </fill>
      <alignment horizontal="general" vertical="bottom" textRotation="0" wrapText="0" indent="0" justifyLastLine="0" shrinkToFit="0" readingOrder="0"/>
      <border diagonalUp="0" diagonalDown="0">
        <left style="medium">
          <color indexed="64"/>
        </left>
        <right style="medium">
          <color indexed="64"/>
        </right>
        <top style="medium">
          <color indexed="64"/>
        </top>
        <bottom style="medium">
          <color indexed="64"/>
        </bottom>
        <vertical/>
        <horizontal/>
      </border>
    </dxf>
    <dxf>
      <font>
        <b/>
        <i val="0"/>
        <strike val="0"/>
        <condense val="0"/>
        <extend val="0"/>
        <outline val="0"/>
        <shadow val="0"/>
        <u val="none"/>
        <vertAlign val="baseline"/>
        <sz val="11"/>
        <color auto="1"/>
        <name val="Calibri"/>
        <family val="2"/>
        <scheme val="minor"/>
      </font>
      <numFmt numFmtId="174" formatCode="_(* #,##0_);_(* \(#,##0\);_(* &quot;–&quot;??_);_(@_)"/>
      <fill>
        <patternFill patternType="solid">
          <fgColor indexed="64"/>
          <bgColor theme="0" tint="-0.14996795556505021"/>
        </patternFill>
      </fill>
      <alignment horizontal="general" vertical="bottom" textRotation="0" wrapText="0" indent="0" justifyLastLine="0" shrinkToFit="0" readingOrder="0"/>
      <border diagonalUp="0" diagonalDown="0">
        <left style="medium">
          <color indexed="64"/>
        </left>
        <right style="medium">
          <color indexed="64"/>
        </right>
        <top style="medium">
          <color indexed="64"/>
        </top>
        <bottom style="medium">
          <color indexed="64"/>
        </bottom>
        <vertical/>
        <horizontal/>
      </border>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D5EFFF"/>
        </patternFill>
      </fill>
      <alignment horizontal="general" vertical="bottom" textRotation="0" wrapText="0" indent="0" justifyLastLine="0" shrinkToFit="0" readingOrder="0"/>
      <border diagonalUp="0" diagonalDown="0">
        <left/>
        <right/>
        <top style="thin">
          <color theme="2" tint="-9.9978637043366805E-2"/>
        </top>
        <bottom style="thin">
          <color rgb="FF68B7BF"/>
        </bottom>
        <vertical/>
        <horizontal/>
      </border>
    </dxf>
    <dxf>
      <font>
        <b val="0"/>
        <i/>
        <strike val="0"/>
        <condense val="0"/>
        <extend val="0"/>
        <outline val="0"/>
        <shadow val="0"/>
        <u val="none"/>
        <vertAlign val="baseline"/>
        <sz val="9"/>
        <color auto="1"/>
        <name val="Calibri"/>
        <family val="2"/>
        <scheme val="minor"/>
      </font>
      <numFmt numFmtId="0" formatCode="General"/>
      <fill>
        <patternFill patternType="solid">
          <fgColor indexed="64"/>
          <bgColor theme="3" tint="0.79998168889431442"/>
        </patternFill>
      </fill>
      <alignment horizontal="general" vertical="bottom" textRotation="0" wrapText="0" indent="0" justifyLastLine="0" shrinkToFit="0" readingOrder="0"/>
      <border diagonalUp="0" diagonalDown="0">
        <left style="thin">
          <color theme="2" tint="-9.9978637043366805E-2"/>
        </left>
        <right/>
        <top style="thin">
          <color theme="2" tint="-9.9978637043366805E-2"/>
        </top>
        <bottom style="thin">
          <color theme="2" tint="-9.9978637043366805E-2"/>
        </bottom>
        <vertical/>
        <horizontal/>
      </border>
    </dxf>
    <dxf>
      <font>
        <b val="0"/>
        <i/>
        <strike val="0"/>
        <condense val="0"/>
        <extend val="0"/>
        <outline val="0"/>
        <shadow val="0"/>
        <u val="none"/>
        <vertAlign val="baseline"/>
        <sz val="9"/>
        <color auto="1"/>
        <name val="Calibri"/>
        <family val="2"/>
        <scheme val="minor"/>
      </font>
      <numFmt numFmtId="0" formatCode="General"/>
      <fill>
        <patternFill patternType="solid">
          <fgColor indexed="64"/>
          <bgColor theme="3" tint="0.79998168889431442"/>
        </patternFill>
      </fill>
      <alignment horizontal="general" vertical="bottom" textRotation="0" wrapText="0" indent="0" justifyLastLine="0" shrinkToFit="0" readingOrder="0"/>
      <border diagonalUp="0" diagonalDown="0">
        <left style="thin">
          <color theme="2" tint="-9.9978637043366805E-2"/>
        </left>
        <right/>
        <top style="thin">
          <color theme="2" tint="-9.9978637043366805E-2"/>
        </top>
        <bottom style="thin">
          <color theme="2" tint="-9.9978637043366805E-2"/>
        </bottom>
        <vertical/>
        <horizontal/>
      </border>
    </dxf>
    <dxf>
      <border outline="0">
        <top style="thin">
          <color rgb="FF68B7BF"/>
        </top>
      </border>
    </dxf>
    <dxf>
      <border outline="0">
        <bottom style="thin">
          <color rgb="FF68B7BF"/>
        </bottom>
      </border>
    </dxf>
    <dxf>
      <font>
        <b/>
        <i val="0"/>
        <strike val="0"/>
        <condense val="0"/>
        <extend val="0"/>
        <outline val="0"/>
        <shadow val="0"/>
        <u val="none"/>
        <vertAlign val="baseline"/>
        <sz val="11"/>
        <color theme="0"/>
        <name val="Calibri"/>
        <family val="2"/>
        <scheme val="minor"/>
      </font>
      <fill>
        <patternFill patternType="solid">
          <fgColor rgb="FF2E666C"/>
          <bgColor rgb="FF2E666C"/>
        </patternFill>
      </fill>
      <alignment horizontal="center" vertical="center" textRotation="0" wrapText="1" indent="0" justifyLastLine="0" shrinkToFit="0" readingOrder="0"/>
    </dxf>
    <dxf>
      <font>
        <strike val="0"/>
        <outline val="0"/>
        <shadow val="0"/>
        <u val="none"/>
        <name val="Calibri"/>
        <family val="2"/>
        <scheme val="minor"/>
      </font>
    </dxf>
    <dxf>
      <font>
        <strike val="0"/>
        <outline val="0"/>
        <shadow val="0"/>
        <u val="none"/>
        <name val="Calibri"/>
        <family val="2"/>
        <scheme val="minor"/>
      </font>
    </dxf>
    <dxf>
      <font>
        <strike val="0"/>
        <outline val="0"/>
        <shadow val="0"/>
        <u val="none"/>
        <name val="Calibri"/>
        <family val="2"/>
        <scheme val="minor"/>
      </font>
    </dxf>
    <dxf>
      <font>
        <strike val="0"/>
        <outline val="0"/>
        <shadow val="0"/>
        <u val="none"/>
        <name val="Calibri"/>
        <family val="2"/>
        <scheme val="minor"/>
      </font>
    </dxf>
    <dxf>
      <font>
        <strike val="0"/>
        <outline val="0"/>
        <shadow val="0"/>
        <u val="none"/>
        <name val="Calibri"/>
        <family val="2"/>
        <scheme val="minor"/>
      </font>
    </dxf>
    <dxf>
      <numFmt numFmtId="166" formatCode="#,##0\ ;\(#,##0\);\-"/>
    </dxf>
    <dxf>
      <numFmt numFmtId="166" formatCode="#,##0\ ;\(#,##0\);\-"/>
    </dxf>
    <dxf>
      <font>
        <strike val="0"/>
        <outline val="0"/>
        <shadow val="0"/>
        <u val="none"/>
        <name val="Calibri"/>
        <family val="2"/>
        <scheme val="minor"/>
      </font>
    </dxf>
    <dxf>
      <font>
        <strike val="0"/>
        <outline val="0"/>
        <shadow val="0"/>
        <u val="none"/>
        <name val="Calibri"/>
        <family val="2"/>
        <scheme val="minor"/>
      </font>
    </dxf>
    <dxf>
      <font>
        <strike val="0"/>
        <outline val="0"/>
        <shadow val="0"/>
        <u val="none"/>
        <name val="Calibri"/>
        <family val="2"/>
        <scheme val="minor"/>
      </font>
    </dxf>
    <dxf>
      <font>
        <strike val="0"/>
        <outline val="0"/>
        <shadow val="0"/>
        <u val="none"/>
        <name val="Calibri"/>
        <family val="2"/>
        <scheme val="minor"/>
      </font>
    </dxf>
    <dxf>
      <numFmt numFmtId="172" formatCode="_(* #,##0_);_(* \(#,##0\);_(* &quot;–&quot;??_);_(* @_)"/>
    </dxf>
    <dxf>
      <numFmt numFmtId="172" formatCode="_(* #,##0_);_(* \(#,##0\);_(* &quot;–&quot;??_);_(* @_)"/>
    </dxf>
    <dxf>
      <alignment horizontal="general" vertical="bottom" textRotation="0" wrapText="1" indent="0" justifyLastLine="0" shrinkToFit="0" readingOrder="0"/>
    </dxf>
    <dxf>
      <font>
        <strike val="0"/>
        <outline val="0"/>
        <shadow val="0"/>
        <u val="none"/>
        <name val="Calibri"/>
        <family val="2"/>
        <scheme val="minor"/>
      </font>
    </dxf>
    <dxf>
      <font>
        <strike val="0"/>
        <outline val="0"/>
        <shadow val="0"/>
        <u val="none"/>
        <name val="Calibri"/>
        <family val="2"/>
        <scheme val="minor"/>
      </font>
    </dxf>
    <dxf>
      <font>
        <strike val="0"/>
        <outline val="0"/>
        <shadow val="0"/>
        <u val="none"/>
        <name val="Calibri"/>
        <family val="2"/>
        <scheme val="minor"/>
      </font>
    </dxf>
    <dxf>
      <font>
        <strike val="0"/>
        <outline val="0"/>
        <shadow val="0"/>
        <u val="none"/>
        <name val="Calibri"/>
        <family val="2"/>
        <scheme val="minor"/>
      </font>
    </dxf>
    <dxf>
      <font>
        <strike val="0"/>
        <outline val="0"/>
        <shadow val="0"/>
        <u val="none"/>
        <name val="Calibri"/>
        <family val="2"/>
        <scheme val="minor"/>
      </font>
    </dxf>
    <dxf>
      <font>
        <strike val="0"/>
        <outline val="0"/>
        <shadow val="0"/>
        <u val="none"/>
        <name val="Calibri"/>
        <family val="2"/>
        <scheme val="minor"/>
      </font>
      <numFmt numFmtId="166" formatCode="#,##0\ ;\(#,##0\);\-"/>
    </dxf>
    <dxf>
      <font>
        <strike val="0"/>
        <outline val="0"/>
        <shadow val="0"/>
        <u val="none"/>
        <name val="Calibri"/>
        <family val="2"/>
        <scheme val="minor"/>
      </font>
      <numFmt numFmtId="166" formatCode="#,##0\ ;\(#,##0\);\-"/>
    </dxf>
    <dxf>
      <font>
        <strike val="0"/>
        <outline val="0"/>
        <shadow val="0"/>
        <u val="none"/>
        <name val="Calibri"/>
        <family val="2"/>
        <scheme val="minor"/>
      </font>
    </dxf>
    <dxf>
      <font>
        <strike val="0"/>
        <outline val="0"/>
        <shadow val="0"/>
        <u val="none"/>
        <name val="Calibri"/>
        <family val="2"/>
        <scheme val="minor"/>
      </font>
    </dxf>
    <dxf>
      <font>
        <strike val="0"/>
        <outline val="0"/>
        <shadow val="0"/>
        <u val="none"/>
        <name val="Calibri"/>
        <family val="2"/>
        <scheme val="minor"/>
      </font>
    </dxf>
    <dxf>
      <font>
        <strike val="0"/>
        <outline val="0"/>
        <shadow val="0"/>
        <u val="none"/>
        <name val="Calibri"/>
        <family val="2"/>
        <scheme val="minor"/>
      </font>
    </dxf>
    <dxf>
      <font>
        <strike val="0"/>
        <outline val="0"/>
        <shadow val="0"/>
        <u val="none"/>
        <name val="Calibri"/>
        <family val="2"/>
        <scheme val="minor"/>
      </font>
      <numFmt numFmtId="166" formatCode="#,##0\ ;\(#,##0\);\-"/>
    </dxf>
    <dxf>
      <font>
        <strike val="0"/>
        <outline val="0"/>
        <shadow val="0"/>
        <u val="none"/>
        <name val="Calibri"/>
        <family val="2"/>
        <scheme val="minor"/>
      </font>
      <numFmt numFmtId="166" formatCode="#,##0\ ;\(#,##0\);\-"/>
    </dxf>
    <dxf>
      <font>
        <strike val="0"/>
        <outline val="0"/>
        <shadow val="0"/>
        <u val="none"/>
        <name val="Calibri"/>
        <family val="2"/>
        <scheme val="minor"/>
      </font>
    </dxf>
    <dxf>
      <font>
        <strike val="0"/>
        <outline val="0"/>
        <shadow val="0"/>
        <u val="none"/>
        <name val="Calibri"/>
        <family val="2"/>
        <scheme val="minor"/>
      </font>
    </dxf>
    <dxf>
      <font>
        <strike val="0"/>
        <outline val="0"/>
        <shadow val="0"/>
        <u val="none"/>
        <name val="Calibri"/>
        <family val="2"/>
        <scheme val="minor"/>
      </font>
    </dxf>
    <dxf>
      <font>
        <strike val="0"/>
        <outline val="0"/>
        <shadow val="0"/>
        <u val="none"/>
        <name val="Calibri"/>
        <family val="2"/>
        <scheme val="minor"/>
      </font>
    </dxf>
    <dxf>
      <font>
        <strike val="0"/>
        <outline val="0"/>
        <shadow val="0"/>
        <u val="none"/>
        <name val="Calibri"/>
        <family val="2"/>
        <scheme val="minor"/>
      </font>
    </dxf>
    <dxf>
      <font>
        <strike val="0"/>
        <outline val="0"/>
        <shadow val="0"/>
        <u val="none"/>
        <name val="Calibri"/>
        <family val="2"/>
        <scheme val="minor"/>
      </font>
      <numFmt numFmtId="166" formatCode="#,##0\ ;\(#,##0\);\-"/>
    </dxf>
    <dxf>
      <font>
        <strike val="0"/>
        <outline val="0"/>
        <shadow val="0"/>
        <u val="none"/>
        <name val="Calibri"/>
        <family val="2"/>
        <scheme val="minor"/>
      </font>
      <numFmt numFmtId="166" formatCode="#,##0\ ;\(#,##0\);\-"/>
    </dxf>
    <dxf>
      <font>
        <strike val="0"/>
        <outline val="0"/>
        <shadow val="0"/>
        <u val="none"/>
        <name val="Calibri"/>
        <family val="2"/>
        <scheme val="minor"/>
      </font>
    </dxf>
    <dxf>
      <font>
        <strike val="0"/>
        <outline val="0"/>
        <shadow val="0"/>
        <u val="none"/>
        <name val="Calibri"/>
        <family val="2"/>
        <scheme val="minor"/>
      </font>
    </dxf>
    <dxf>
      <font>
        <strike val="0"/>
        <outline val="0"/>
        <shadow val="0"/>
        <u val="none"/>
        <name val="Calibri"/>
        <family val="2"/>
        <scheme val="minor"/>
      </font>
    </dxf>
    <dxf>
      <font>
        <strike val="0"/>
        <outline val="0"/>
        <shadow val="0"/>
        <u val="none"/>
        <name val="Calibri"/>
        <family val="2"/>
        <scheme val="minor"/>
      </font>
    </dxf>
    <dxf>
      <font>
        <strike val="0"/>
        <outline val="0"/>
        <shadow val="0"/>
        <u val="none"/>
        <name val="Calibri"/>
        <family val="2"/>
        <scheme val="minor"/>
      </font>
      <numFmt numFmtId="166" formatCode="#,##0\ ;\(#,##0\);\-"/>
    </dxf>
    <dxf>
      <font>
        <strike val="0"/>
        <outline val="0"/>
        <shadow val="0"/>
        <u val="none"/>
        <name val="Calibri"/>
        <family val="2"/>
        <scheme val="minor"/>
      </font>
      <numFmt numFmtId="166" formatCode="#,##0\ ;\(#,##0\);\-"/>
    </dxf>
    <dxf>
      <font>
        <strike val="0"/>
        <outline val="0"/>
        <shadow val="0"/>
        <u val="none"/>
        <name val="Calibri"/>
        <family val="2"/>
        <scheme val="minor"/>
      </font>
    </dxf>
    <dxf>
      <font>
        <strike val="0"/>
        <outline val="0"/>
        <shadow val="0"/>
        <u val="none"/>
        <name val="Calibri"/>
        <family val="2"/>
        <scheme val="minor"/>
      </font>
    </dxf>
    <dxf>
      <font>
        <strike val="0"/>
        <outline val="0"/>
        <shadow val="0"/>
        <u val="none"/>
        <name val="Calibri"/>
        <family val="2"/>
        <scheme val="minor"/>
      </font>
    </dxf>
    <dxf>
      <font>
        <strike val="0"/>
        <outline val="0"/>
        <shadow val="0"/>
        <u val="none"/>
        <name val="Calibri"/>
        <family val="2"/>
        <scheme val="minor"/>
      </font>
    </dxf>
    <dxf>
      <font>
        <strike val="0"/>
        <outline val="0"/>
        <shadow val="0"/>
        <u val="none"/>
        <name val="Calibri"/>
        <family val="2"/>
        <scheme val="minor"/>
      </font>
      <numFmt numFmtId="166" formatCode="#,##0\ ;\(#,##0\);\-"/>
    </dxf>
    <dxf>
      <numFmt numFmtId="172" formatCode="_(* #,##0_);_(* \(#,##0\);_(* &quot;–&quot;??_);_(* @_)"/>
    </dxf>
    <dxf>
      <numFmt numFmtId="172" formatCode="_(* #,##0_);_(* \(#,##0\);_(* &quot;–&quot;??_);_(* @_)"/>
    </dxf>
    <dxf>
      <numFmt numFmtId="172" formatCode="_(* #,##0_);_(* \(#,##0\);_(* &quot;–&quot;??_);_(* @_)"/>
    </dxf>
    <dxf>
      <alignment horizontal="general" vertical="bottom" textRotation="0" wrapText="1" indent="0" justifyLastLine="0" shrinkToFit="0" readingOrder="0"/>
    </dxf>
    <dxf>
      <font>
        <strike val="0"/>
        <outline val="0"/>
        <shadow val="0"/>
        <u val="none"/>
        <name val="Calibri"/>
        <family val="2"/>
        <scheme val="minor"/>
      </font>
    </dxf>
    <dxf>
      <font>
        <strike val="0"/>
        <outline val="0"/>
        <shadow val="0"/>
        <u val="none"/>
        <name val="Calibri"/>
        <family val="2"/>
        <scheme val="minor"/>
      </font>
    </dxf>
    <dxf>
      <font>
        <strike val="0"/>
        <outline val="0"/>
        <shadow val="0"/>
        <u val="none"/>
        <name val="Calibri"/>
        <family val="2"/>
        <scheme val="minor"/>
      </font>
    </dxf>
    <dxf>
      <font>
        <strike val="0"/>
        <outline val="0"/>
        <shadow val="0"/>
        <u val="none"/>
        <name val="Calibri"/>
        <family val="2"/>
        <scheme val="minor"/>
      </font>
    </dxf>
    <dxf>
      <font>
        <strike val="0"/>
        <outline val="0"/>
        <shadow val="0"/>
        <u val="none"/>
        <name val="Calibri"/>
        <family val="2"/>
        <scheme val="minor"/>
      </font>
      <numFmt numFmtId="166" formatCode="#,##0\ ;\(#,##0\);\-"/>
    </dxf>
    <dxf>
      <font>
        <strike val="0"/>
        <outline val="0"/>
        <shadow val="0"/>
        <u val="none"/>
        <name val="Calibri"/>
        <family val="2"/>
        <scheme val="minor"/>
      </font>
      <numFmt numFmtId="166" formatCode="#,##0\ ;\(#,##0\);\-"/>
    </dxf>
    <dxf>
      <font>
        <strike val="0"/>
        <outline val="0"/>
        <shadow val="0"/>
        <u val="none"/>
        <name val="Calibri"/>
        <family val="2"/>
        <scheme val="minor"/>
      </font>
      <numFmt numFmtId="166" formatCode="#,##0\ ;\(#,##0\);\-"/>
    </dxf>
    <dxf>
      <font>
        <strike val="0"/>
        <outline val="0"/>
        <shadow val="0"/>
        <u val="none"/>
        <name val="Calibri"/>
        <family val="2"/>
        <scheme val="minor"/>
      </font>
    </dxf>
    <dxf>
      <font>
        <strike val="0"/>
        <outline val="0"/>
        <shadow val="0"/>
        <u val="none"/>
        <name val="Calibri"/>
        <family val="2"/>
        <scheme val="minor"/>
      </font>
    </dxf>
    <dxf>
      <font>
        <strike val="0"/>
        <outline val="0"/>
        <shadow val="0"/>
        <u val="none"/>
        <name val="Calibri"/>
        <family val="2"/>
        <scheme val="minor"/>
      </font>
    </dxf>
    <dxf>
      <numFmt numFmtId="170" formatCode="_(@_)"/>
    </dxf>
    <dxf>
      <font>
        <strike val="0"/>
        <outline val="0"/>
        <shadow val="0"/>
        <u val="none"/>
        <vertAlign val="baseline"/>
        <name val="Calibri"/>
        <family val="2"/>
        <scheme val="minor"/>
      </font>
    </dxf>
    <dxf>
      <font>
        <strike val="0"/>
        <outline val="0"/>
        <shadow val="0"/>
        <u val="none"/>
        <vertAlign val="baseline"/>
        <name val="Calibri"/>
        <family val="2"/>
        <scheme val="minor"/>
      </font>
    </dxf>
    <dxf>
      <font>
        <strike val="0"/>
        <outline val="0"/>
        <shadow val="0"/>
        <u val="none"/>
        <vertAlign val="baseline"/>
        <name val="Calibri"/>
        <family val="2"/>
        <scheme val="minor"/>
      </font>
      <numFmt numFmtId="178" formatCode="_(* #,##0.0_);_(* \(#,##0.0\);_(* &quot;–&quot;???_);_(* @_)"/>
    </dxf>
    <dxf>
      <font>
        <strike val="0"/>
        <outline val="0"/>
        <shadow val="0"/>
        <u val="none"/>
        <vertAlign val="baseline"/>
        <name val="Calibri"/>
        <family val="2"/>
        <scheme val="minor"/>
      </font>
      <numFmt numFmtId="166" formatCode="#,##0\ ;\(#,##0\);\-"/>
    </dxf>
    <dxf>
      <font>
        <strike val="0"/>
        <outline val="0"/>
        <shadow val="0"/>
        <u val="none"/>
        <vertAlign val="baseline"/>
        <name val="Calibri"/>
        <family val="2"/>
        <scheme val="minor"/>
      </font>
      <numFmt numFmtId="166" formatCode="#,##0\ ;\(#,##0\);\-"/>
    </dxf>
    <dxf>
      <font>
        <strike val="0"/>
        <outline val="0"/>
        <shadow val="0"/>
        <u val="none"/>
        <vertAlign val="baseline"/>
        <name val="Calibri"/>
        <family val="2"/>
        <scheme val="minor"/>
      </font>
      <numFmt numFmtId="166" formatCode="#,##0\ ;\(#,##0\);\-"/>
    </dxf>
    <dxf>
      <font>
        <strike val="0"/>
        <outline val="0"/>
        <shadow val="0"/>
        <u val="none"/>
        <vertAlign val="baseline"/>
        <name val="Calibri"/>
        <family val="2"/>
        <scheme val="minor"/>
      </font>
      <numFmt numFmtId="166" formatCode="#,##0\ ;\(#,##0\);\-"/>
    </dxf>
    <dxf>
      <font>
        <strike val="0"/>
        <outline val="0"/>
        <shadow val="0"/>
        <u val="none"/>
        <vertAlign val="baseline"/>
        <name val="Calibri"/>
        <family val="2"/>
        <scheme val="minor"/>
      </font>
    </dxf>
    <dxf>
      <font>
        <strike val="0"/>
        <outline val="0"/>
        <shadow val="0"/>
        <u val="none"/>
        <vertAlign val="baseline"/>
        <name val="Calibri"/>
        <family val="2"/>
        <scheme val="minor"/>
      </font>
    </dxf>
    <dxf>
      <font>
        <strike val="0"/>
        <outline val="0"/>
        <shadow val="0"/>
        <u val="none"/>
        <name val="Calibri"/>
        <family val="2"/>
        <scheme val="minor"/>
      </font>
      <numFmt numFmtId="166" formatCode="#,##0\ ;\(#,##0\);\-"/>
    </dxf>
    <dxf>
      <font>
        <strike val="0"/>
        <outline val="0"/>
        <shadow val="0"/>
        <u val="none"/>
        <name val="Calibri"/>
        <family val="2"/>
        <scheme val="minor"/>
      </font>
      <numFmt numFmtId="166" formatCode="#,##0\ ;\(#,##0\);\-"/>
    </dxf>
    <dxf>
      <font>
        <strike val="0"/>
        <outline val="0"/>
        <shadow val="0"/>
        <u val="none"/>
        <name val="Calibri"/>
        <family val="2"/>
        <scheme val="minor"/>
      </font>
      <numFmt numFmtId="166" formatCode="#,##0\ ;\(#,##0\);\-"/>
    </dxf>
    <dxf>
      <font>
        <strike val="0"/>
        <outline val="0"/>
        <shadow val="0"/>
        <u val="none"/>
        <name val="Calibri"/>
        <family val="2"/>
        <scheme val="minor"/>
      </font>
    </dxf>
    <dxf>
      <font>
        <strike val="0"/>
        <outline val="0"/>
        <shadow val="0"/>
        <u val="none"/>
        <name val="Calibri"/>
        <family val="2"/>
        <scheme val="minor"/>
      </font>
    </dxf>
    <dxf>
      <font>
        <strike val="0"/>
        <outline val="0"/>
        <shadow val="0"/>
        <u val="none"/>
        <name val="Calibri"/>
        <family val="2"/>
        <scheme val="minor"/>
      </font>
      <numFmt numFmtId="166" formatCode="#,##0\ ;\(#,##0\);\-"/>
    </dxf>
    <dxf>
      <font>
        <strike val="0"/>
        <outline val="0"/>
        <shadow val="0"/>
        <u val="none"/>
        <name val="Calibri"/>
        <family val="2"/>
        <scheme val="minor"/>
      </font>
      <numFmt numFmtId="166" formatCode="#,##0\ ;\(#,##0\);\-"/>
    </dxf>
    <dxf>
      <font>
        <strike val="0"/>
        <outline val="0"/>
        <shadow val="0"/>
        <u val="none"/>
        <name val="Calibri"/>
        <family val="2"/>
        <scheme val="minor"/>
      </font>
      <numFmt numFmtId="166" formatCode="#,##0\ ;\(#,##0\);\-"/>
    </dxf>
    <dxf>
      <font>
        <strike val="0"/>
        <outline val="0"/>
        <shadow val="0"/>
        <u val="none"/>
        <name val="Calibri"/>
        <family val="2"/>
        <scheme val="minor"/>
      </font>
    </dxf>
    <dxf>
      <font>
        <strike val="0"/>
        <outline val="0"/>
        <shadow val="0"/>
        <u val="none"/>
        <name val="Calibri"/>
        <family val="2"/>
        <scheme val="minor"/>
      </font>
    </dxf>
    <dxf>
      <numFmt numFmtId="172" formatCode="_(* #,##0_);_(* \(#,##0\);_(* &quot;–&quot;??_);_(* @_)"/>
    </dxf>
    <dxf>
      <font>
        <strike val="0"/>
        <outline val="0"/>
        <shadow val="0"/>
        <u val="none"/>
        <vertAlign val="baseline"/>
        <name val="Calibri"/>
        <family val="2"/>
        <scheme val="minor"/>
      </font>
    </dxf>
    <dxf>
      <font>
        <strike val="0"/>
        <outline val="0"/>
        <shadow val="0"/>
        <u val="none"/>
        <vertAlign val="baseline"/>
        <name val="Calibri"/>
        <family val="2"/>
        <scheme val="minor"/>
      </font>
    </dxf>
    <dxf>
      <border outline="0">
        <top style="thin">
          <color rgb="FF68B7BF"/>
        </top>
      </border>
    </dxf>
    <dxf>
      <border outline="0">
        <left style="thin">
          <color rgb="FF68B7BF"/>
        </left>
        <top style="thin">
          <color rgb="FF68B7BF"/>
        </top>
        <bottom style="thin">
          <color rgb="FF68B7BF"/>
        </bottom>
      </border>
    </dxf>
    <dxf>
      <font>
        <strike val="0"/>
        <outline val="0"/>
        <shadow val="0"/>
        <u val="none"/>
        <vertAlign val="baseline"/>
        <name val="Calibri"/>
        <family val="2"/>
        <scheme val="minor"/>
      </font>
    </dxf>
    <dxf>
      <border outline="0">
        <bottom style="thin">
          <color rgb="FF68B7BF"/>
        </bottom>
      </border>
    </dxf>
    <dxf>
      <font>
        <b/>
        <i val="0"/>
        <strike val="0"/>
        <condense val="0"/>
        <extend val="0"/>
        <outline val="0"/>
        <shadow val="0"/>
        <u val="none"/>
        <vertAlign val="baseline"/>
        <sz val="11"/>
        <color theme="0"/>
        <name val="Calibri"/>
        <family val="2"/>
        <scheme val="minor"/>
      </font>
      <fill>
        <patternFill patternType="solid">
          <fgColor rgb="FF2E666C"/>
          <bgColor rgb="FF2E666C"/>
        </patternFill>
      </fill>
      <alignment horizontal="center" vertical="center" textRotation="0" wrapText="1" indent="0" justifyLastLine="0" shrinkToFit="0" readingOrder="0"/>
    </dxf>
    <dxf>
      <font>
        <strike val="0"/>
        <outline val="0"/>
        <shadow val="0"/>
        <u val="none"/>
        <vertAlign val="baseline"/>
        <name val="Calibri"/>
        <family val="2"/>
        <scheme val="minor"/>
      </font>
    </dxf>
    <dxf>
      <font>
        <strike val="0"/>
        <outline val="0"/>
        <shadow val="0"/>
        <u val="none"/>
        <vertAlign val="baseline"/>
        <name val="Calibri"/>
        <family val="2"/>
        <scheme val="minor"/>
      </font>
    </dxf>
    <dxf>
      <font>
        <strike val="0"/>
        <outline val="0"/>
        <shadow val="0"/>
        <u val="none"/>
        <vertAlign val="baseline"/>
        <name val="Calibri"/>
        <family val="2"/>
        <scheme val="minor"/>
      </font>
    </dxf>
    <dxf>
      <font>
        <strike val="0"/>
        <outline val="0"/>
        <shadow val="0"/>
        <u val="none"/>
        <vertAlign val="baseline"/>
        <name val="Calibri"/>
        <family val="2"/>
        <scheme val="minor"/>
      </font>
    </dxf>
    <dxf>
      <font>
        <strike val="0"/>
        <outline val="0"/>
        <shadow val="0"/>
        <u val="none"/>
        <vertAlign val="baseline"/>
        <name val="Calibri"/>
        <family val="2"/>
        <scheme val="minor"/>
      </font>
    </dxf>
    <dxf>
      <font>
        <strike val="0"/>
        <outline val="0"/>
        <shadow val="0"/>
        <u val="none"/>
        <vertAlign val="baseline"/>
        <name val="Calibri"/>
        <family val="2"/>
        <scheme val="minor"/>
      </font>
    </dxf>
    <dxf>
      <font>
        <strike val="0"/>
        <outline val="0"/>
        <shadow val="0"/>
        <u val="none"/>
        <vertAlign val="baseline"/>
        <name val="Calibri"/>
        <family val="2"/>
        <scheme val="minor"/>
      </font>
    </dxf>
    <dxf>
      <font>
        <strike val="0"/>
        <outline val="0"/>
        <shadow val="0"/>
        <u val="none"/>
        <vertAlign val="baseline"/>
        <name val="Calibri"/>
        <family val="2"/>
        <scheme val="minor"/>
      </font>
    </dxf>
    <dxf>
      <border outline="0">
        <top style="thin">
          <color rgb="FF68B7BF"/>
        </top>
      </border>
    </dxf>
    <dxf>
      <border outline="0">
        <left style="thin">
          <color rgb="FF68B7BF"/>
        </left>
        <top style="thin">
          <color rgb="FF68B7BF"/>
        </top>
        <bottom style="thin">
          <color rgb="FF68B7BF"/>
        </bottom>
      </border>
    </dxf>
    <dxf>
      <font>
        <strike val="0"/>
        <outline val="0"/>
        <shadow val="0"/>
        <u val="none"/>
        <vertAlign val="baseline"/>
        <name val="Calibri"/>
        <family val="2"/>
        <scheme val="minor"/>
      </font>
    </dxf>
    <dxf>
      <border outline="0">
        <bottom style="thin">
          <color rgb="FF68B7BF"/>
        </bottom>
      </border>
    </dxf>
    <dxf>
      <font>
        <b/>
        <i val="0"/>
        <strike val="0"/>
        <condense val="0"/>
        <extend val="0"/>
        <outline val="0"/>
        <shadow val="0"/>
        <u val="none"/>
        <vertAlign val="baseline"/>
        <sz val="11"/>
        <color theme="0"/>
        <name val="Calibri"/>
        <family val="2"/>
        <scheme val="minor"/>
      </font>
      <fill>
        <patternFill patternType="solid">
          <fgColor rgb="FF2E666C"/>
          <bgColor rgb="FF2E666C"/>
        </patternFill>
      </fill>
      <alignment horizontal="center" vertical="center" textRotation="0" wrapText="1" indent="0" justifyLastLine="0" shrinkToFit="0" readingOrder="0"/>
    </dxf>
    <dxf>
      <numFmt numFmtId="175" formatCode="_(* [$-1409]d\ mmmm\ yyyy_);_(* @_)"/>
    </dxf>
    <dxf>
      <font>
        <strike val="0"/>
        <outline val="0"/>
        <shadow val="0"/>
        <u val="none"/>
        <vertAlign val="baseline"/>
        <name val="Calibri"/>
        <family val="2"/>
        <scheme val="minor"/>
      </font>
    </dxf>
    <dxf>
      <font>
        <strike val="0"/>
        <outline val="0"/>
        <shadow val="0"/>
        <u val="none"/>
        <vertAlign val="baseline"/>
        <name val="Calibri"/>
        <family val="2"/>
        <scheme val="minor"/>
      </font>
    </dxf>
    <dxf>
      <border outline="0">
        <top style="thin">
          <color rgb="FF68B7BF"/>
        </top>
      </border>
    </dxf>
    <dxf>
      <border outline="0">
        <left style="thin">
          <color rgb="FF68B7BF"/>
        </left>
        <top style="thin">
          <color rgb="FF68B7BF"/>
        </top>
        <bottom style="thin">
          <color rgb="FF68B7BF"/>
        </bottom>
      </border>
    </dxf>
    <dxf>
      <font>
        <strike val="0"/>
        <outline val="0"/>
        <shadow val="0"/>
        <u val="none"/>
        <vertAlign val="baseline"/>
        <name val="Calibri"/>
        <family val="2"/>
        <scheme val="minor"/>
      </font>
    </dxf>
    <dxf>
      <border outline="0">
        <bottom style="thin">
          <color rgb="FF68B7BF"/>
        </bottom>
      </border>
    </dxf>
    <dxf>
      <font>
        <b/>
        <i val="0"/>
        <strike val="0"/>
        <condense val="0"/>
        <extend val="0"/>
        <outline val="0"/>
        <shadow val="0"/>
        <u val="none"/>
        <vertAlign val="baseline"/>
        <sz val="11"/>
        <color theme="0"/>
        <name val="Calibri"/>
        <family val="2"/>
        <scheme val="minor"/>
      </font>
      <fill>
        <patternFill patternType="solid">
          <fgColor rgb="FF2E666C"/>
          <bgColor rgb="FF2E666C"/>
        </patternFill>
      </fill>
      <alignment horizontal="center" vertical="center" textRotation="0" wrapText="1" indent="0" justifyLastLine="0" shrinkToFit="0" readingOrder="0"/>
    </dxf>
    <dxf>
      <font>
        <strike val="0"/>
        <outline val="0"/>
        <shadow val="0"/>
        <u val="none"/>
        <vertAlign val="baseline"/>
        <name val="Calibri"/>
        <family val="2"/>
        <scheme val="minor"/>
      </font>
    </dxf>
    <dxf>
      <font>
        <strike val="0"/>
        <outline val="0"/>
        <shadow val="0"/>
        <u val="none"/>
        <vertAlign val="baseline"/>
        <name val="Calibri"/>
        <family val="2"/>
        <scheme val="minor"/>
      </font>
    </dxf>
    <dxf>
      <font>
        <strike val="0"/>
        <outline val="0"/>
        <shadow val="0"/>
        <u val="none"/>
        <vertAlign val="baseline"/>
        <name val="Calibri"/>
        <family val="2"/>
        <scheme val="minor"/>
      </font>
    </dxf>
    <dxf>
      <font>
        <strike val="0"/>
        <outline val="0"/>
        <shadow val="0"/>
        <u val="none"/>
        <vertAlign val="baseline"/>
        <name val="Calibri"/>
        <family val="2"/>
        <scheme val="minor"/>
      </font>
    </dxf>
    <dxf>
      <font>
        <strike val="0"/>
        <outline val="0"/>
        <shadow val="0"/>
        <u val="none"/>
        <vertAlign val="baseline"/>
        <name val="Calibri"/>
        <family val="2"/>
        <scheme val="minor"/>
      </font>
    </dxf>
    <dxf>
      <font>
        <strike val="0"/>
        <outline val="0"/>
        <shadow val="0"/>
        <u val="none"/>
        <vertAlign val="baseline"/>
        <name val="Calibri"/>
        <family val="2"/>
        <scheme val="minor"/>
      </font>
    </dxf>
    <dxf>
      <font>
        <strike val="0"/>
        <outline val="0"/>
        <shadow val="0"/>
        <u val="none"/>
        <vertAlign val="baseline"/>
        <name val="Calibri"/>
        <family val="2"/>
        <scheme val="minor"/>
      </font>
    </dxf>
    <dxf>
      <font>
        <strike val="0"/>
        <outline val="0"/>
        <shadow val="0"/>
        <u val="none"/>
        <vertAlign val="baseline"/>
        <name val="Calibri"/>
        <family val="2"/>
        <scheme val="minor"/>
      </font>
    </dxf>
    <dxf>
      <border outline="0">
        <top style="thin">
          <color rgb="FF68B7BF"/>
        </top>
      </border>
    </dxf>
    <dxf>
      <border outline="0">
        <left style="thin">
          <color rgb="FF68B7BF"/>
        </left>
        <top style="thin">
          <color rgb="FF68B7BF"/>
        </top>
        <bottom style="thin">
          <color rgb="FF68B7BF"/>
        </bottom>
      </border>
    </dxf>
    <dxf>
      <font>
        <strike val="0"/>
        <outline val="0"/>
        <shadow val="0"/>
        <u val="none"/>
        <vertAlign val="baseline"/>
        <name val="Calibri"/>
        <family val="2"/>
        <scheme val="minor"/>
      </font>
    </dxf>
    <dxf>
      <border outline="0">
        <bottom style="thin">
          <color rgb="FF68B7BF"/>
        </bottom>
      </border>
    </dxf>
    <dxf>
      <font>
        <b/>
        <i val="0"/>
        <strike val="0"/>
        <condense val="0"/>
        <extend val="0"/>
        <outline val="0"/>
        <shadow val="0"/>
        <u val="none"/>
        <vertAlign val="baseline"/>
        <sz val="11"/>
        <color theme="0"/>
        <name val="Calibri"/>
        <family val="2"/>
        <scheme val="minor"/>
      </font>
      <fill>
        <patternFill patternType="solid">
          <fgColor rgb="FF2E666C"/>
          <bgColor rgb="FF2E666C"/>
        </patternFill>
      </fill>
      <alignment horizontal="center" vertical="center" textRotation="0" wrapText="1" indent="0" justifyLastLine="0" shrinkToFit="0" readingOrder="0"/>
    </dxf>
    <dxf>
      <numFmt numFmtId="172" formatCode="_(* #,##0_);_(* \(#,##0\);_(* &quot;–&quot;??_);_(* @_)"/>
      <border diagonalUp="0" diagonalDown="0">
        <left/>
        <right style="thin">
          <color rgb="FF68B7BF"/>
        </right>
        <top style="thin">
          <color rgb="FF68B7BF"/>
        </top>
        <bottom style="thin">
          <color rgb="FF68B7BF"/>
        </bottom>
      </border>
    </dxf>
    <dxf>
      <numFmt numFmtId="172" formatCode="_(* #,##0_);_(* \(#,##0\);_(* &quot;–&quot;??_);_(* @_)"/>
      <border diagonalUp="0" diagonalDown="0">
        <left/>
        <right/>
        <top style="thin">
          <color rgb="FF68B7BF"/>
        </top>
        <bottom style="thin">
          <color rgb="FF68B7BF"/>
        </bottom>
      </border>
    </dxf>
    <dxf>
      <numFmt numFmtId="172" formatCode="_(* #,##0_);_(* \(#,##0\);_(* &quot;–&quot;??_);_(* @_)"/>
      <border diagonalUp="0" diagonalDown="0">
        <left/>
        <right/>
        <top style="thin">
          <color rgb="FF68B7BF"/>
        </top>
        <bottom style="thin">
          <color rgb="FF68B7BF"/>
        </bottom>
      </border>
    </dxf>
    <dxf>
      <font>
        <b val="0"/>
        <i val="0"/>
        <strike val="0"/>
        <condense val="0"/>
        <extend val="0"/>
        <outline val="0"/>
        <shadow val="0"/>
        <u val="none"/>
        <vertAlign val="baseline"/>
        <sz val="11"/>
        <color auto="1"/>
        <name val="Calibri"/>
        <family val="2"/>
        <scheme val="minor"/>
      </font>
      <fill>
        <patternFill patternType="solid">
          <fgColor rgb="FFCCE7EA"/>
          <bgColor rgb="FFCCE7EA"/>
        </patternFill>
      </fill>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minor"/>
      </font>
      <fill>
        <patternFill patternType="solid">
          <fgColor rgb="FFCCE7EA"/>
          <bgColor rgb="FFCCE7EA"/>
        </patternFill>
      </fill>
      <border diagonalUp="0" diagonalDown="0" outline="0">
        <left/>
        <right/>
        <top style="thin">
          <color rgb="FF68B7BF"/>
        </top>
        <bottom style="thin">
          <color rgb="FF68B7BF"/>
        </bottom>
      </border>
    </dxf>
    <dxf>
      <border outline="0">
        <top style="thin">
          <color rgb="FF68B7BF"/>
        </top>
      </border>
    </dxf>
    <dxf>
      <border outline="0">
        <left style="thin">
          <color rgb="FF68B7BF"/>
        </left>
        <top style="thin">
          <color rgb="FF68B7BF"/>
        </top>
        <bottom style="thin">
          <color rgb="FF68B7BF"/>
        </bottom>
      </border>
    </dxf>
    <dxf>
      <font>
        <b val="0"/>
        <i val="0"/>
        <strike val="0"/>
        <condense val="0"/>
        <extend val="0"/>
        <outline val="0"/>
        <shadow val="0"/>
        <u val="none"/>
        <vertAlign val="baseline"/>
        <sz val="11"/>
        <color auto="1"/>
        <name val="Calibri"/>
        <family val="2"/>
        <scheme val="minor"/>
      </font>
      <fill>
        <patternFill patternType="solid">
          <fgColor rgb="FFCCE7EA"/>
          <bgColor rgb="FFCCE7EA"/>
        </patternFill>
      </fill>
    </dxf>
    <dxf>
      <border outline="0">
        <bottom style="thin">
          <color rgb="FF68B7BF"/>
        </bottom>
      </border>
    </dxf>
    <dxf>
      <font>
        <b/>
        <i val="0"/>
        <strike val="0"/>
        <condense val="0"/>
        <extend val="0"/>
        <outline val="0"/>
        <shadow val="0"/>
        <u val="none"/>
        <vertAlign val="baseline"/>
        <sz val="11"/>
        <color theme="0"/>
        <name val="Calibri"/>
        <family val="2"/>
        <scheme val="minor"/>
      </font>
      <fill>
        <patternFill patternType="solid">
          <fgColor rgb="FF2E666C"/>
          <bgColor rgb="FF2E666C"/>
        </patternFill>
      </fill>
      <alignment horizontal="center" vertical="center" textRotation="0" wrapText="1" indent="0" justifyLastLine="0" shrinkToFit="0" readingOrder="0"/>
    </dxf>
    <dxf>
      <numFmt numFmtId="172" formatCode="_(* #,##0_);_(* \(#,##0\);_(* &quot;–&quot;??_);_(* @_)"/>
    </dxf>
    <dxf>
      <numFmt numFmtId="172" formatCode="_(* #,##0_);_(* \(#,##0\);_(* &quot;–&quot;??_);_(* @_)"/>
    </dxf>
    <dxf>
      <numFmt numFmtId="172" formatCode="_(* #,##0_);_(* \(#,##0\);_(* &quot;–&quot;??_);_(* @_)"/>
    </dxf>
    <dxf>
      <font>
        <strike val="0"/>
        <outline val="0"/>
        <shadow val="0"/>
        <u val="none"/>
        <vertAlign val="baseline"/>
        <name val="Calibri"/>
        <family val="2"/>
        <scheme val="minor"/>
      </font>
    </dxf>
    <dxf>
      <font>
        <strike val="0"/>
        <outline val="0"/>
        <shadow val="0"/>
        <u val="none"/>
        <vertAlign val="baseline"/>
        <name val="Calibri"/>
        <family val="2"/>
        <scheme val="minor"/>
      </font>
    </dxf>
    <dxf>
      <font>
        <strike val="0"/>
        <outline val="0"/>
        <shadow val="0"/>
        <u val="none"/>
        <vertAlign val="baseline"/>
        <name val="Calibri"/>
        <family val="2"/>
        <scheme val="minor"/>
      </font>
      <numFmt numFmtId="173" formatCode="_(* #,##0.000%_);_(* \(#,##0.000%\);_(* &quot;–&quot;???_);_(* @_)"/>
    </dxf>
    <dxf>
      <font>
        <strike val="0"/>
        <outline val="0"/>
        <shadow val="0"/>
        <u val="none"/>
        <vertAlign val="baseline"/>
        <name val="Calibri"/>
        <family val="2"/>
        <scheme val="minor"/>
      </font>
    </dxf>
    <dxf>
      <font>
        <strike val="0"/>
        <outline val="0"/>
        <shadow val="0"/>
        <u val="none"/>
        <vertAlign val="baseline"/>
        <name val="Calibri"/>
        <family val="2"/>
        <scheme val="minor"/>
      </font>
    </dxf>
    <dxf>
      <font>
        <strike val="0"/>
        <outline val="0"/>
        <shadow val="0"/>
        <u val="none"/>
        <vertAlign val="baseline"/>
        <name val="Calibri"/>
        <family val="2"/>
        <scheme val="minor"/>
      </font>
      <numFmt numFmtId="166" formatCode="#,##0\ ;\(#,##0\);\-"/>
    </dxf>
    <dxf>
      <font>
        <strike val="0"/>
        <outline val="0"/>
        <shadow val="0"/>
        <u val="none"/>
        <vertAlign val="baseline"/>
        <name val="Calibri"/>
        <family val="2"/>
        <scheme val="minor"/>
      </font>
      <numFmt numFmtId="166" formatCode="#,##0\ ;\(#,##0\);\-"/>
    </dxf>
    <dxf>
      <font>
        <strike val="0"/>
        <outline val="0"/>
        <shadow val="0"/>
        <u val="none"/>
        <vertAlign val="baseline"/>
        <name val="Calibri"/>
        <family val="2"/>
        <scheme val="minor"/>
      </font>
      <numFmt numFmtId="166" formatCode="#,##0\ ;\(#,##0\);\-"/>
    </dxf>
    <dxf>
      <font>
        <strike val="0"/>
        <outline val="0"/>
        <shadow val="0"/>
        <u val="none"/>
        <vertAlign val="baseline"/>
        <name val="Calibri"/>
        <family val="2"/>
        <scheme val="minor"/>
      </font>
    </dxf>
    <dxf>
      <font>
        <strike val="0"/>
        <outline val="0"/>
        <shadow val="0"/>
        <u val="none"/>
        <vertAlign val="baseline"/>
        <name val="Calibri"/>
        <family val="2"/>
        <scheme val="minor"/>
      </font>
    </dxf>
    <dxf>
      <numFmt numFmtId="166" formatCode="#,##0\ ;\(#,##0\);\-"/>
      <fill>
        <patternFill patternType="none">
          <fgColor indexed="64"/>
          <bgColor auto="1"/>
        </patternFill>
      </fill>
      <alignment textRotation="0" wrapText="1" indent="0" justifyLastLine="0" shrinkToFit="0" readingOrder="0"/>
    </dxf>
    <dxf>
      <numFmt numFmtId="166" formatCode="#,##0\ ;\(#,##0\);\-"/>
      <fill>
        <patternFill patternType="none">
          <fgColor indexed="64"/>
          <bgColor auto="1"/>
        </patternFill>
      </fill>
      <alignment textRotation="0" wrapText="1" indent="0" justifyLastLine="0" shrinkToFit="0" readingOrder="0"/>
    </dxf>
    <dxf>
      <numFmt numFmtId="166" formatCode="#,##0\ ;\(#,##0\);\-"/>
      <fill>
        <patternFill patternType="none">
          <fgColor indexed="64"/>
          <bgColor auto="1"/>
        </patternFill>
      </fill>
      <alignment textRotation="0" wrapText="1" indent="0" justifyLastLine="0" shrinkToFit="0" readingOrder="0"/>
    </dxf>
    <dxf>
      <numFmt numFmtId="30" formatCode="@"/>
      <fill>
        <patternFill patternType="none">
          <fgColor indexed="64"/>
          <bgColor auto="1"/>
        </patternFill>
      </fill>
      <alignment textRotation="0" wrapText="1" indent="0" justifyLastLine="0" shrinkToFit="0" readingOrder="0"/>
    </dxf>
    <dxf>
      <fill>
        <patternFill patternType="none">
          <fgColor indexed="64"/>
          <bgColor auto="1"/>
        </patternFill>
      </fill>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numFmt numFmtId="30" formatCode="@"/>
      <fill>
        <patternFill patternType="none">
          <fgColor indexed="64"/>
          <bgColor auto="1"/>
        </patternFill>
      </fill>
      <alignment horizontal="general" vertical="bottom" textRotation="0" wrapText="0" indent="0" justifyLastLine="0" shrinkToFit="0" readingOrder="0"/>
    </dxf>
    <dxf>
      <numFmt numFmtId="30" formatCode="@"/>
      <fill>
        <patternFill patternType="none">
          <fgColor indexed="64"/>
          <bgColor auto="1"/>
        </patternFill>
      </fill>
      <alignment horizontal="general" vertical="bottom" textRotation="0" wrapText="0" indent="0" justifyLastLine="0" shrinkToFit="0" readingOrder="0"/>
    </dxf>
    <dxf>
      <numFmt numFmtId="30" formatCode="@"/>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0" formatCode="@"/>
      <fill>
        <patternFill patternType="none">
          <fgColor indexed="64"/>
          <bgColor indexed="65"/>
        </patternFill>
      </fill>
      <alignment horizontal="general" vertical="bottom" textRotation="0" wrapText="0" indent="0" justifyLastLine="0" shrinkToFit="0" readingOrder="0"/>
    </dxf>
    <dxf>
      <numFmt numFmtId="30" formatCode="@"/>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numFmt numFmtId="172" formatCode="_(* #,##0_);_(* \(#,##0\);_(* &quot;–&quot;??_);_(* @_)"/>
      <fill>
        <patternFill patternType="none">
          <fgColor indexed="64"/>
          <bgColor auto="1"/>
        </patternFill>
      </fill>
      <alignment textRotation="0" wrapText="1" indent="0" justifyLastLine="0" shrinkToFit="0" readingOrder="0"/>
    </dxf>
    <dxf>
      <numFmt numFmtId="166" formatCode="#,##0\ ;\(#,##0\);\-"/>
      <fill>
        <patternFill patternType="none">
          <fgColor indexed="64"/>
          <bgColor auto="1"/>
        </patternFill>
      </fill>
      <alignment textRotation="0" wrapText="1" indent="0" justifyLastLine="0" shrinkToFit="0" readingOrder="0"/>
    </dxf>
    <dxf>
      <numFmt numFmtId="172" formatCode="_(* #,##0_);_(* \(#,##0\);_(* &quot;–&quot;??_);_(* @_)"/>
      <fill>
        <patternFill patternType="none">
          <fgColor indexed="64"/>
          <bgColor auto="1"/>
        </patternFill>
      </fill>
      <alignment textRotation="0" wrapText="1" indent="0" justifyLastLine="0" shrinkToFit="0" readingOrder="0"/>
    </dxf>
    <dxf>
      <numFmt numFmtId="172" formatCode="_(* #,##0_);_(* \(#,##0\);_(* &quot;–&quot;??_);_(* @_)"/>
      <fill>
        <patternFill patternType="none">
          <fgColor indexed="64"/>
          <bgColor auto="1"/>
        </patternFill>
      </fill>
      <alignment textRotation="0" wrapText="1" indent="0" justifyLastLine="0" shrinkToFit="0" readingOrder="0"/>
    </dxf>
    <dxf>
      <numFmt numFmtId="172" formatCode="_(* #,##0_);_(* \(#,##0\);_(* &quot;–&quot;??_);_(* @_)"/>
      <fill>
        <patternFill patternType="none">
          <fgColor indexed="64"/>
          <bgColor auto="1"/>
        </patternFill>
      </fill>
      <alignment textRotation="0" wrapText="1" indent="0" justifyLastLine="0" shrinkToFit="0" readingOrder="0"/>
    </dxf>
    <dxf>
      <numFmt numFmtId="172" formatCode="_(* #,##0_);_(* \(#,##0\);_(* &quot;–&quot;??_);_(* @_)"/>
      <fill>
        <patternFill patternType="none">
          <fgColor indexed="64"/>
          <bgColor auto="1"/>
        </patternFill>
      </fill>
      <alignment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numFmt numFmtId="166" formatCode="#,##0\ ;\(#,##0\);\-"/>
      <fill>
        <patternFill patternType="none">
          <fgColor indexed="64"/>
          <bgColor auto="1"/>
        </patternFill>
      </fill>
      <alignment textRotation="0" wrapText="1" indent="0" justifyLastLine="0" shrinkToFit="0" readingOrder="0"/>
    </dxf>
    <dxf>
      <numFmt numFmtId="166" formatCode="#,##0\ ;\(#,##0\);\-"/>
      <fill>
        <patternFill patternType="none">
          <fgColor indexed="64"/>
          <bgColor auto="1"/>
        </patternFill>
      </fill>
      <alignment textRotation="0" wrapText="1" indent="0" justifyLastLine="0" shrinkToFit="0" readingOrder="0"/>
    </dxf>
    <dxf>
      <numFmt numFmtId="166" formatCode="#,##0\ ;\(#,##0\);\-"/>
      <fill>
        <patternFill patternType="none">
          <fgColor indexed="64"/>
          <bgColor auto="1"/>
        </patternFill>
      </fill>
      <alignment textRotation="0" wrapText="1" indent="0" justifyLastLine="0" shrinkToFit="0" readingOrder="0"/>
    </dxf>
    <dxf>
      <numFmt numFmtId="30" formatCode="@"/>
      <fill>
        <patternFill patternType="none">
          <fgColor indexed="64"/>
          <bgColor auto="1"/>
        </patternFill>
      </fill>
      <alignment textRotation="0" wrapText="1" indent="0" justifyLastLine="0" shrinkToFit="0" readingOrder="0"/>
    </dxf>
    <dxf>
      <fill>
        <patternFill patternType="none">
          <fgColor indexed="64"/>
          <bgColor auto="1"/>
        </patternFill>
      </fill>
    </dxf>
    <dxf>
      <numFmt numFmtId="30" formatCode="@"/>
      <fill>
        <patternFill patternType="none">
          <fgColor indexed="64"/>
          <bgColor auto="1"/>
        </patternFill>
      </fill>
      <alignment horizontal="general" vertical="bottom" textRotation="0" wrapText="0" indent="0" justifyLastLine="0" shrinkToFit="0" readingOrder="0"/>
    </dxf>
    <dxf>
      <numFmt numFmtId="30" formatCode="@"/>
      <fill>
        <patternFill patternType="none">
          <fgColor indexed="64"/>
          <bgColor auto="1"/>
        </patternFill>
      </fill>
      <alignment horizontal="general" vertical="bottom" textRotation="0" wrapText="0" indent="0" justifyLastLine="0" shrinkToFit="0" readingOrder="0"/>
    </dxf>
    <dxf>
      <numFmt numFmtId="30" formatCode="@"/>
      <fill>
        <patternFill patternType="none">
          <fgColor indexed="64"/>
          <bgColor auto="1"/>
        </patternFill>
      </fill>
      <alignment horizontal="general" vertical="bottom" textRotation="0" wrapText="0" indent="0" justifyLastLine="0" shrinkToFit="0" readingOrder="0"/>
    </dxf>
    <dxf>
      <numFmt numFmtId="30" formatCode="@"/>
      <fill>
        <patternFill patternType="none">
          <fgColor indexed="64"/>
          <bgColor auto="1"/>
        </patternFill>
      </fill>
      <alignment horizontal="general" vertical="bottom" textRotation="0" wrapText="0" indent="0" justifyLastLine="0" shrinkToFit="0" readingOrder="0"/>
    </dxf>
    <dxf>
      <numFmt numFmtId="30" formatCode="@"/>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numFmt numFmtId="166" formatCode="#,##0\ ;\(#,##0\);\-"/>
      <fill>
        <patternFill patternType="none">
          <fgColor indexed="64"/>
          <bgColor auto="1"/>
        </patternFill>
      </fill>
      <alignment horizontal="general" vertical="bottom" textRotation="0" wrapText="0" indent="0" justifyLastLine="0" shrinkToFit="0" readingOrder="0"/>
    </dxf>
    <dxf>
      <numFmt numFmtId="166" formatCode="#,##0\ ;\(#,##0\);\-"/>
      <fill>
        <patternFill patternType="none">
          <fgColor indexed="64"/>
          <bgColor auto="1"/>
        </patternFill>
      </fill>
      <alignment horizontal="general" vertical="bottom" textRotation="0" wrapText="0" indent="0" justifyLastLine="0" shrinkToFit="0" readingOrder="0"/>
    </dxf>
    <dxf>
      <numFmt numFmtId="172" formatCode="_(* #,##0_);_(* \(#,##0\);_(* &quot;–&quot;??_);_(* @_)"/>
      <fill>
        <patternFill patternType="none">
          <fgColor indexed="64"/>
          <bgColor auto="1"/>
        </patternFill>
      </fill>
      <alignment horizontal="general" vertical="bottom" textRotation="0" wrapText="0" indent="0" justifyLastLine="0" shrinkToFit="0" readingOrder="0"/>
    </dxf>
    <dxf>
      <numFmt numFmtId="166" formatCode="#,##0\ ;\(#,##0\);\-"/>
      <fill>
        <patternFill patternType="none">
          <fgColor indexed="64"/>
          <bgColor auto="1"/>
        </patternFill>
      </fill>
      <alignment horizontal="general" vertical="bottom" textRotation="0" wrapText="0" indent="0" justifyLastLine="0" shrinkToFit="0" readingOrder="0"/>
    </dxf>
    <dxf>
      <numFmt numFmtId="166" formatCode="#,##0\ ;\(#,##0\);\-"/>
      <fill>
        <patternFill patternType="none">
          <fgColor indexed="64"/>
          <bgColor auto="1"/>
        </patternFill>
      </fill>
      <alignment horizontal="general" vertical="bottom" textRotation="0" wrapText="0" indent="0" justifyLastLine="0" shrinkToFit="0" readingOrder="0"/>
    </dxf>
    <dxf>
      <numFmt numFmtId="166" formatCode="#,##0\ ;\(#,##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numFmt numFmtId="172" formatCode="_(* #,##0_);_(* \(#,##0\);_(* &quot;–&quot;??_);_(* @_)"/>
      <fill>
        <patternFill patternType="solid">
          <fgColor indexed="64"/>
          <bgColor theme="7" tint="0.79998168889431442"/>
        </patternFill>
      </fill>
      <alignment textRotation="0" wrapText="1" indent="0" justifyLastLine="0" shrinkToFit="0" readingOrder="0"/>
    </dxf>
    <dxf>
      <numFmt numFmtId="30" formatCode="@"/>
      <fill>
        <patternFill patternType="solid">
          <fgColor indexed="64"/>
          <bgColor theme="7" tint="0.79998168889431442"/>
        </patternFill>
      </fill>
      <alignment textRotation="0" wrapText="1" indent="0" justifyLastLine="0" shrinkToFit="0" readingOrder="0"/>
    </dxf>
    <dxf>
      <numFmt numFmtId="30" formatCode="@"/>
      <fill>
        <patternFill patternType="solid">
          <fgColor indexed="64"/>
          <bgColor theme="7" tint="0.79998168889431442"/>
        </patternFill>
      </fill>
      <alignment textRotation="0" wrapText="1" indent="0" justifyLastLine="0" shrinkToFit="0" readingOrder="0"/>
    </dxf>
    <dxf>
      <fill>
        <patternFill patternType="none">
          <fgColor indexed="64"/>
          <bgColor auto="1"/>
        </patternFill>
      </fill>
    </dxf>
    <dxf>
      <numFmt numFmtId="172" formatCode="_(* #,##0_);_(* \(#,##0\);_(* &quot;–&quot;??_);_(* @_)"/>
      <fill>
        <patternFill patternType="none">
          <fgColor indexed="64"/>
          <bgColor auto="1"/>
        </patternFill>
      </fill>
      <alignment textRotation="0" wrapText="1" indent="0" justifyLastLine="0" shrinkToFit="0" readingOrder="0"/>
    </dxf>
    <dxf>
      <numFmt numFmtId="172" formatCode="_(* #,##0_);_(* \(#,##0\);_(* &quot;–&quot;??_);_(* @_)"/>
      <fill>
        <patternFill patternType="none">
          <fgColor indexed="64"/>
          <bgColor auto="1"/>
        </patternFill>
      </fill>
      <alignment textRotation="0" wrapText="1" indent="0" justifyLastLine="0" shrinkToFit="0" readingOrder="0"/>
    </dxf>
    <dxf>
      <numFmt numFmtId="172" formatCode="_(* #,##0_);_(* \(#,##0\);_(* &quot;–&quot;??_);_(* @_)"/>
      <fill>
        <patternFill patternType="none">
          <fgColor indexed="64"/>
          <bgColor auto="1"/>
        </patternFill>
      </fill>
      <alignment textRotation="0" wrapText="1" indent="0" justifyLastLine="0" shrinkToFit="0" readingOrder="0"/>
    </dxf>
    <dxf>
      <numFmt numFmtId="172" formatCode="_(* #,##0_);_(* \(#,##0\);_(* &quot;–&quot;??_);_(* @_)"/>
      <fill>
        <patternFill patternType="none">
          <fgColor indexed="64"/>
          <bgColor auto="1"/>
        </patternFill>
      </fill>
      <alignment textRotation="0" wrapText="1" indent="0" justifyLastLine="0" shrinkToFit="0" readingOrder="0"/>
    </dxf>
    <dxf>
      <numFmt numFmtId="172" formatCode="_(* #,##0_);_(* \(#,##0\);_(* &quot;–&quot;??_);_(* @_)"/>
      <fill>
        <patternFill patternType="none">
          <fgColor indexed="64"/>
          <bgColor auto="1"/>
        </patternFill>
      </fill>
      <alignment textRotation="0" wrapText="1" indent="0" justifyLastLine="0" shrinkToFit="0" readingOrder="0"/>
    </dxf>
    <dxf>
      <fill>
        <patternFill patternType="none">
          <fgColor indexed="64"/>
          <bgColor auto="1"/>
        </patternFill>
      </fill>
    </dxf>
    <dxf>
      <numFmt numFmtId="172" formatCode="_(* #,##0_);_(* \(#,##0\);_(* &quot;–&quot;??_);_(* @_)"/>
      <fill>
        <patternFill patternType="none">
          <fgColor indexed="64"/>
          <bgColor auto="1"/>
        </patternFill>
      </fill>
      <alignment textRotation="0" wrapText="1" indent="0" justifyLastLine="0" shrinkToFit="0" readingOrder="0"/>
    </dxf>
    <dxf>
      <numFmt numFmtId="172" formatCode="_(* #,##0_);_(* \(#,##0\);_(* &quot;–&quot;??_);_(* @_)"/>
      <fill>
        <patternFill patternType="none">
          <fgColor indexed="64"/>
          <bgColor auto="1"/>
        </patternFill>
      </fill>
      <alignment textRotation="0" wrapText="1" indent="0" justifyLastLine="0" shrinkToFit="0" readingOrder="0"/>
    </dxf>
    <dxf>
      <numFmt numFmtId="172" formatCode="_(* #,##0_);_(* \(#,##0\);_(* &quot;–&quot;??_);_(* @_)"/>
      <fill>
        <patternFill patternType="none">
          <fgColor indexed="64"/>
          <bgColor auto="1"/>
        </patternFill>
      </fill>
      <alignment textRotation="0" wrapText="1" indent="0" justifyLastLine="0" shrinkToFit="0" readingOrder="0"/>
    </dxf>
    <dxf>
      <numFmt numFmtId="172" formatCode="_(* #,##0_);_(* \(#,##0\);_(* &quot;–&quot;??_);_(* @_)"/>
      <fill>
        <patternFill patternType="none">
          <fgColor indexed="64"/>
          <bgColor auto="1"/>
        </patternFill>
      </fill>
      <alignment textRotation="0" wrapText="1" indent="0" justifyLastLine="0" shrinkToFit="0" readingOrder="0"/>
    </dxf>
    <dxf>
      <font>
        <b val="0"/>
      </font>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numFmt numFmtId="172" formatCode="_(* #,##0_);_(* \(#,##0\);_(* &quot;–&quot;??_);_(* @_)"/>
      <fill>
        <patternFill patternType="none">
          <fgColor indexed="64"/>
          <bgColor auto="1"/>
        </patternFill>
      </fill>
      <alignment horizontal="general" vertical="bottom" textRotation="0" wrapText="0" indent="0" justifyLastLine="0" shrinkToFit="0" readingOrder="0"/>
    </dxf>
    <dxf>
      <numFmt numFmtId="172" formatCode="_(* #,##0_);_(* \(#,##0\);_(* &quot;–&quot;??_);_(* @_)"/>
      <fill>
        <patternFill patternType="none">
          <fgColor indexed="64"/>
          <bgColor auto="1"/>
        </patternFill>
      </fill>
      <alignment horizontal="general" vertical="bottom" textRotation="0" wrapText="0" indent="0" justifyLastLine="0" shrinkToFit="0" readingOrder="0"/>
    </dxf>
    <dxf>
      <numFmt numFmtId="172" formatCode="_(* #,##0_);_(* \(#,##0\);_(* &quot;–&quot;??_);_(* @_)"/>
      <fill>
        <patternFill patternType="none">
          <fgColor indexed="64"/>
          <bgColor auto="1"/>
        </patternFill>
      </fill>
      <alignment horizontal="general" vertical="bottom" textRotation="0" wrapText="0" indent="0" justifyLastLine="0" shrinkToFit="0" readingOrder="0"/>
    </dxf>
    <dxf>
      <numFmt numFmtId="172" formatCode="_(* #,##0_);_(* \(#,##0\);_(* &quot;–&quot;??_);_(* @_)"/>
      <fill>
        <patternFill patternType="none">
          <fgColor indexed="64"/>
          <bgColor auto="1"/>
        </patternFill>
      </fill>
      <alignment horizontal="general" vertical="bottom" textRotation="0" wrapText="0" indent="0" justifyLastLine="0" shrinkToFit="0" readingOrder="0"/>
    </dxf>
    <dxf>
      <numFmt numFmtId="172" formatCode="_(* #,##0_);_(* \(#,##0\);_(* &quot;–&quot;??_);_(* @_)"/>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numFmt numFmtId="172" formatCode="_(* #,##0_);_(* \(#,##0\);_(* &quot;–&quot;??_);_(* @_)"/>
      <fill>
        <patternFill patternType="none">
          <fgColor indexed="64"/>
          <bgColor auto="1"/>
        </patternFill>
      </fill>
      <alignment horizontal="general" vertical="bottom" textRotation="0" wrapText="0" indent="0" justifyLastLine="0" shrinkToFit="0" readingOrder="0"/>
    </dxf>
    <dxf>
      <numFmt numFmtId="166" formatCode="#,##0\ ;\(#,##0\);\-"/>
      <fill>
        <patternFill patternType="none">
          <fgColor indexed="64"/>
          <bgColor auto="1"/>
        </patternFill>
      </fill>
      <alignment horizontal="general" vertical="bottom" textRotation="0" wrapText="0" indent="0" justifyLastLine="0" shrinkToFit="0" readingOrder="0"/>
    </dxf>
    <dxf>
      <numFmt numFmtId="166" formatCode="#,##0\ ;\(#,##0\);\-"/>
      <fill>
        <patternFill patternType="none">
          <fgColor indexed="64"/>
          <bgColor auto="1"/>
        </patternFill>
      </fill>
      <alignment horizontal="general" vertical="bottom" textRotation="0" wrapText="0" indent="0" justifyLastLine="0" shrinkToFit="0" readingOrder="0"/>
    </dxf>
    <dxf>
      <numFmt numFmtId="166" formatCode="#,##0\ ;\(#,##0\);\-"/>
      <fill>
        <patternFill patternType="none">
          <fgColor indexed="64"/>
          <bgColor auto="1"/>
        </patternFill>
      </fill>
      <alignment horizontal="general" vertical="bottom" textRotation="0" wrapText="0" indent="0" justifyLastLine="0" shrinkToFit="0" readingOrder="0"/>
    </dxf>
    <dxf>
      <numFmt numFmtId="166" formatCode="#,##0\ ;\(#,##0\);\-"/>
      <fill>
        <patternFill patternType="none">
          <fgColor indexed="64"/>
          <bgColor auto="1"/>
        </patternFill>
      </fill>
      <alignment horizontal="general" vertical="bottom" textRotation="0" wrapText="0" indent="0" justifyLastLine="0" shrinkToFit="0" readingOrder="0"/>
    </dxf>
    <dxf>
      <numFmt numFmtId="166" formatCode="#,##0\ ;\(#,##0\);\-"/>
      <fill>
        <patternFill patternType="none">
          <fgColor indexed="64"/>
          <bgColor auto="1"/>
        </patternFill>
      </fill>
      <alignment horizontal="general" vertical="bottom" textRotation="0" wrapText="0" indent="0" justifyLastLine="0" shrinkToFit="0" readingOrder="0"/>
    </dxf>
    <dxf>
      <numFmt numFmtId="166" formatCode="#,##0\ ;\(#,##0\);\-"/>
      <fill>
        <patternFill patternType="none">
          <fgColor indexed="64"/>
          <bgColor auto="1"/>
        </patternFill>
      </fill>
      <alignment horizontal="general" vertical="bottom" textRotation="0" wrapText="0" indent="0" justifyLastLine="0" shrinkToFit="0" readingOrder="0"/>
    </dxf>
    <dxf>
      <numFmt numFmtId="166" formatCode="#,##0\ ;\(#,##0\);\-"/>
      <fill>
        <patternFill patternType="none">
          <fgColor indexed="64"/>
          <bgColor auto="1"/>
        </patternFill>
      </fill>
      <alignment horizontal="general" vertical="bottom" textRotation="0" wrapText="0" indent="0" justifyLastLine="0" shrinkToFit="0" readingOrder="0"/>
    </dxf>
    <dxf>
      <numFmt numFmtId="167" formatCode="#,##0.00%;\(#,##0.00%\);\-"/>
      <alignment horizontal="general" vertical="bottom" textRotation="0" wrapText="0" indent="0" justifyLastLine="0" shrinkToFit="0" readingOrder="0"/>
    </dxf>
    <dxf>
      <numFmt numFmtId="167" formatCode="#,##0.00%;\(#,##0.00%\);\-"/>
      <fill>
        <patternFill patternType="none">
          <fgColor indexed="64"/>
          <bgColor indexed="65"/>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numFmt numFmtId="172" formatCode="_(* #,##0_);_(* \(#,##0\);_(* &quot;–&quot;??_);_(* @_)"/>
      <fill>
        <patternFill patternType="none">
          <fgColor indexed="64"/>
          <bgColor auto="1"/>
        </patternFill>
      </fill>
      <alignment horizontal="general" vertical="bottom" textRotation="0" wrapText="0" indent="0" justifyLastLine="0" shrinkToFit="0" readingOrder="0"/>
    </dxf>
    <dxf>
      <numFmt numFmtId="172" formatCode="_(* #,##0_);_(* \(#,##0\);_(* &quot;–&quot;??_);_(* @_)"/>
      <fill>
        <patternFill patternType="none">
          <fgColor indexed="64"/>
          <bgColor auto="1"/>
        </patternFill>
      </fill>
      <alignment horizontal="general" vertical="bottom" textRotation="0" wrapText="0" indent="0" justifyLastLine="0" shrinkToFit="0" readingOrder="0"/>
    </dxf>
    <dxf>
      <numFmt numFmtId="172" formatCode="_(* #,##0_);_(* \(#,##0\);_(* &quot;–&quot;??_);_(* @_)"/>
      <fill>
        <patternFill patternType="none">
          <fgColor indexed="64"/>
          <bgColor auto="1"/>
        </patternFill>
      </fill>
      <alignment horizontal="general" vertical="bottom" textRotation="0" wrapText="0" indent="0" justifyLastLine="0" shrinkToFit="0" readingOrder="0"/>
    </dxf>
    <dxf>
      <numFmt numFmtId="172" formatCode="_(* #,##0_);_(* \(#,##0\);_(* &quot;–&quot;??_);_(* @_)"/>
      <fill>
        <patternFill patternType="none">
          <fgColor indexed="64"/>
          <bgColor auto="1"/>
        </patternFill>
      </fill>
      <alignment horizontal="general" vertical="bottom" textRotation="0" wrapText="0" indent="0" justifyLastLine="0" shrinkToFit="0" readingOrder="0"/>
    </dxf>
    <dxf>
      <numFmt numFmtId="172" formatCode="_(* #,##0_);_(* \(#,##0\);_(* &quot;–&quot;??_);_(* @_)"/>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numFmt numFmtId="182" formatCode="_(* #,##0.0%_);_(* \(#,##0.0%\);_(* &quot;–&quot;???_);_(* @_)"/>
      <fill>
        <patternFill patternType="none">
          <fgColor indexed="64"/>
          <bgColor auto="1"/>
        </patternFill>
      </fill>
      <alignment horizontal="general" vertical="bottom" textRotation="0" wrapText="0" indent="0" justifyLastLine="0" shrinkToFit="0" readingOrder="0"/>
    </dxf>
    <dxf>
      <numFmt numFmtId="172" formatCode="_(* #,##0_);_(* \(#,##0\);_(* &quot;–&quot;??_);_(* @_)"/>
      <fill>
        <patternFill patternType="none">
          <fgColor indexed="64"/>
          <bgColor auto="1"/>
        </patternFill>
      </fill>
      <alignment horizontal="general" vertical="bottom" textRotation="0" wrapText="0" indent="0" justifyLastLine="0" shrinkToFit="0" readingOrder="0"/>
    </dxf>
    <dxf>
      <numFmt numFmtId="172" formatCode="_(* #,##0_);_(* \(#,##0\);_(* &quot;–&quot;??_);_(* @_)"/>
      <fill>
        <patternFill patternType="none">
          <fgColor indexed="64"/>
          <bgColor auto="1"/>
        </patternFill>
      </fill>
      <alignment horizontal="general" vertical="bottom" textRotation="0" wrapText="0" indent="0" justifyLastLine="0" shrinkToFit="0" readingOrder="0"/>
    </dxf>
    <dxf>
      <numFmt numFmtId="182" formatCode="_(* #,##0.0%_);_(* \(#,##0.0%\);_(* &quot;–&quot;???_);_(* @_)"/>
      <fill>
        <patternFill patternType="none">
          <fgColor indexed="64"/>
          <bgColor auto="1"/>
        </patternFill>
      </fill>
      <alignment horizontal="general" vertical="bottom" textRotation="0" wrapText="0" indent="0" justifyLastLine="0" shrinkToFit="0" readingOrder="0"/>
    </dxf>
    <dxf>
      <numFmt numFmtId="172" formatCode="_(* #,##0_);_(* \(#,##0\);_(* &quot;–&quot;??_);_(* @_)"/>
      <fill>
        <patternFill patternType="none">
          <fgColor indexed="64"/>
          <bgColor auto="1"/>
        </patternFill>
      </fill>
      <alignment horizontal="general" vertical="bottom" textRotation="0" wrapText="0" indent="0" justifyLastLine="0" shrinkToFit="0" readingOrder="0"/>
    </dxf>
    <dxf>
      <numFmt numFmtId="172" formatCode="_(* #,##0_);_(* \(#,##0\);_(* &quot;–&quot;??_);_(* @_)"/>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numFmt numFmtId="182" formatCode="_(* #,##0.0%_);_(* \(#,##0.0%\);_(* &quot;–&quot;???_);_(* @_)"/>
      <fill>
        <patternFill patternType="none">
          <fgColor indexed="64"/>
          <bgColor auto="1"/>
        </patternFill>
      </fill>
      <alignment horizontal="general" vertical="bottom" textRotation="0" wrapText="0" indent="0" justifyLastLine="0" shrinkToFit="0" readingOrder="0"/>
    </dxf>
    <dxf>
      <numFmt numFmtId="172" formatCode="_(* #,##0_);_(* \(#,##0\);_(* &quot;–&quot;??_);_(* @_)"/>
      <fill>
        <patternFill patternType="none">
          <fgColor indexed="64"/>
          <bgColor auto="1"/>
        </patternFill>
      </fill>
      <alignment horizontal="general" vertical="bottom" textRotation="0" wrapText="0" indent="0" justifyLastLine="0" shrinkToFit="0" readingOrder="0"/>
    </dxf>
    <dxf>
      <numFmt numFmtId="172" formatCode="_(* #,##0_);_(* \(#,##0\);_(* &quot;–&quot;??_);_(* @_)"/>
      <fill>
        <patternFill patternType="none">
          <fgColor indexed="64"/>
          <bgColor auto="1"/>
        </patternFill>
      </fill>
      <alignment horizontal="general" vertical="bottom" textRotation="0" wrapText="0" indent="0" justifyLastLine="0" shrinkToFit="0" readingOrder="0"/>
    </dxf>
    <dxf>
      <numFmt numFmtId="182" formatCode="_(* #,##0.0%_);_(* \(#,##0.0%\);_(* &quot;–&quot;???_);_(* @_)"/>
      <fill>
        <patternFill patternType="none">
          <fgColor indexed="64"/>
          <bgColor auto="1"/>
        </patternFill>
      </fill>
      <alignment horizontal="general" vertical="bottom" textRotation="0" wrapText="0" indent="0" justifyLastLine="0" shrinkToFit="0" readingOrder="0"/>
    </dxf>
    <dxf>
      <numFmt numFmtId="172" formatCode="_(* #,##0_);_(* \(#,##0\);_(* &quot;–&quot;??_);_(* @_)"/>
      <fill>
        <patternFill patternType="none">
          <fgColor indexed="64"/>
          <bgColor auto="1"/>
        </patternFill>
      </fill>
      <alignment horizontal="general" vertical="bottom" textRotation="0" wrapText="0" indent="0" justifyLastLine="0" shrinkToFit="0" readingOrder="0"/>
    </dxf>
    <dxf>
      <numFmt numFmtId="172" formatCode="_(* #,##0_);_(* \(#,##0\);_(* &quot;–&quot;??_);_(* @_)"/>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numFmt numFmtId="172" formatCode="_(* #,##0_);_(* \(#,##0\);_(* &quot;–&quot;??_);_(* @_)"/>
      <fill>
        <patternFill patternType="none">
          <fgColor indexed="64"/>
          <bgColor auto="1"/>
        </patternFill>
      </fill>
      <alignment textRotation="0" wrapText="1" indent="0" justifyLastLine="0" shrinkToFit="0" readingOrder="0"/>
    </dxf>
    <dxf>
      <numFmt numFmtId="179" formatCode="_(* #,##0.00_);_(* \(#,##0.00\);_(* &quot;–&quot;???_);_(* @_)"/>
      <fill>
        <patternFill patternType="none">
          <fgColor indexed="64"/>
          <bgColor auto="1"/>
        </patternFill>
      </fill>
      <alignment textRotation="0" wrapText="1" indent="0" justifyLastLine="0" shrinkToFit="0" readingOrder="0"/>
    </dxf>
    <dxf>
      <numFmt numFmtId="170" formatCode="_(@_)"/>
      <fill>
        <patternFill patternType="none">
          <fgColor indexed="64"/>
          <bgColor auto="1"/>
        </patternFill>
      </fill>
      <alignment textRotation="0" wrapText="1" indent="0" justifyLastLine="0" shrinkToFit="0" readingOrder="0"/>
    </dxf>
    <dxf>
      <numFmt numFmtId="170" formatCode="_(@_)"/>
      <fill>
        <patternFill patternType="none">
          <fgColor indexed="64"/>
          <bgColor auto="1"/>
        </patternFill>
      </fill>
      <alignment textRotation="0" wrapText="1" indent="0" justifyLastLine="0" shrinkToFit="0" readingOrder="0"/>
    </dxf>
    <dxf>
      <fill>
        <patternFill patternType="none">
          <fgColor indexed="64"/>
          <bgColor auto="1"/>
        </patternFill>
      </fill>
    </dxf>
    <dxf>
      <numFmt numFmtId="170" formatCode="_(@_)"/>
      <fill>
        <patternFill patternType="none">
          <fgColor indexed="64"/>
          <bgColor auto="1"/>
        </patternFill>
      </fill>
      <alignment textRotation="0" wrapText="1" indent="0" justifyLastLine="0" shrinkToFit="0" readingOrder="0"/>
    </dxf>
    <dxf>
      <numFmt numFmtId="170" formatCode="_(@_)"/>
      <fill>
        <patternFill patternType="none">
          <fgColor indexed="64"/>
          <bgColor auto="1"/>
        </patternFill>
      </fill>
      <alignment textRotation="0" wrapText="1" indent="0" justifyLastLine="0" shrinkToFit="0" readingOrder="0"/>
    </dxf>
    <dxf>
      <fill>
        <patternFill patternType="none">
          <fgColor indexed="64"/>
          <bgColor auto="1"/>
        </patternFill>
      </fill>
    </dxf>
    <dxf>
      <numFmt numFmtId="172" formatCode="_(* #,##0_);_(* \(#,##0\);_(* &quot;–&quot;??_);_(* @_)"/>
      <fill>
        <patternFill patternType="none">
          <fgColor indexed="64"/>
          <bgColor auto="1"/>
        </patternFill>
      </fill>
      <alignment textRotation="0" wrapText="1"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bottom" textRotation="0" wrapText="1" indent="0" justifyLastLine="0" shrinkToFit="0" readingOrder="0"/>
    </dxf>
    <dxf>
      <fill>
        <patternFill patternType="none">
          <fgColor indexed="64"/>
          <bgColor auto="1"/>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72" formatCode="_(* #,##0_);_(* \(#,##0\);_(* &quot;–&quot;??_);_(* @_)"/>
      <fill>
        <patternFill patternType="none">
          <fgColor indexed="64"/>
          <bgColor indexed="65"/>
        </patternFill>
      </fill>
      <alignment horizontal="general" vertical="bottom" textRotation="0" wrapText="1" indent="0" justifyLastLine="0" shrinkToFit="0" readingOrder="0"/>
    </dxf>
    <dxf>
      <fill>
        <patternFill patternType="none">
          <fgColor indexed="64"/>
          <bgColor auto="1"/>
        </patternFill>
      </fill>
      <alignment textRotation="0" wrapText="1"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alignment textRotation="0" wrapText="1"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numFmt numFmtId="166" formatCode="#,##0\ ;\(#,##0\);\-"/>
      <fill>
        <patternFill patternType="none">
          <fgColor indexed="64"/>
          <bgColor auto="1"/>
        </patternFill>
      </fill>
    </dxf>
    <dxf>
      <font>
        <b/>
        <i val="0"/>
        <strike val="0"/>
        <condense val="0"/>
        <extend val="0"/>
        <outline val="0"/>
        <shadow val="0"/>
        <u val="none"/>
        <vertAlign val="baseline"/>
        <sz val="11"/>
        <color theme="1"/>
        <name val="Calibri"/>
        <family val="2"/>
        <scheme val="minor"/>
      </font>
      <fill>
        <patternFill patternType="none">
          <fgColor indexed="64"/>
          <bgColor auto="1"/>
        </patternFill>
      </fill>
      <alignment textRotation="0" wrapText="1" indent="0" justifyLastLine="0" shrinkToFit="0" readingOrder="0"/>
    </dxf>
    <dxf>
      <fill>
        <patternFill patternType="none">
          <fgColor indexed="64"/>
          <bgColor auto="1"/>
        </patternFill>
      </fill>
      <alignment textRotation="0" wrapText="1"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numFmt numFmtId="172" formatCode="_(* #,##0_);_(* \(#,##0\);_(* &quot;–&quot;??_);_(* @_)"/>
      <fill>
        <patternFill patternType="none">
          <fgColor indexed="64"/>
          <bgColor auto="1"/>
        </patternFill>
      </fill>
    </dxf>
    <dxf>
      <numFmt numFmtId="172" formatCode="_(* #,##0_);_(* \(#,##0\);_(* &quot;–&quot;??_);_(* @_)"/>
      <fill>
        <patternFill patternType="none">
          <fgColor indexed="64"/>
          <bgColor auto="1"/>
        </patternFill>
      </fill>
    </dxf>
    <dxf>
      <font>
        <b/>
        <i val="0"/>
        <strike val="0"/>
        <condense val="0"/>
        <extend val="0"/>
        <outline val="0"/>
        <shadow val="0"/>
        <u val="none"/>
        <vertAlign val="baseline"/>
        <sz val="11"/>
        <color theme="1"/>
        <name val="Calibri"/>
        <family val="2"/>
        <scheme val="minor"/>
      </font>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numFmt numFmtId="167" formatCode="#,##0.00%;\(#,##0.0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dxf>
    <dxf>
      <numFmt numFmtId="172" formatCode="_(* #,##0_);_(* \(#,##0\);_(* &quot;–&quot;??_);_(* @_)"/>
      <fill>
        <patternFill patternType="none">
          <fgColor indexed="64"/>
          <bgColor auto="1"/>
        </patternFill>
      </fill>
    </dxf>
    <dxf>
      <numFmt numFmtId="172" formatCode="_(* #,##0_);_(* \(#,##0\);_(* &quot;–&quot;??_);_(* @_)"/>
      <fill>
        <patternFill patternType="none">
          <fgColor indexed="64"/>
          <bgColor auto="1"/>
        </patternFill>
      </fill>
    </dxf>
    <dxf>
      <numFmt numFmtId="183" formatCode="_(* 0000_);_(* \(0000\);_(* &quot;–&quot;??_);_(@_)"/>
      <fill>
        <patternFill patternType="none">
          <fgColor indexed="64"/>
          <bgColor auto="1"/>
        </patternFill>
      </fill>
    </dxf>
    <dxf>
      <numFmt numFmtId="172" formatCode="_(* #,##0_);_(* \(#,##0\);_(* &quot;–&quot;??_);_(* @_)"/>
      <fill>
        <patternFill patternType="none">
          <fgColor indexed="64"/>
          <bgColor auto="1"/>
        </patternFill>
      </fill>
      <alignment textRotation="0" wrapText="1" indent="0" justifyLastLine="0" shrinkToFit="0" readingOrder="0"/>
    </dxf>
    <dxf>
      <numFmt numFmtId="170" formatCode="_(@_)"/>
      <fill>
        <patternFill patternType="none">
          <fgColor indexed="64"/>
          <bgColor auto="1"/>
        </patternFill>
      </fill>
      <alignment textRotation="0" wrapText="1"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numFmt numFmtId="172" formatCode="_(* #,##0_);_(* \(#,##0\);_(* &quot;–&quot;??_);_(* @_)"/>
      <fill>
        <patternFill patternType="none">
          <fgColor indexed="64"/>
          <bgColor auto="1"/>
        </patternFill>
      </fill>
    </dxf>
    <dxf>
      <numFmt numFmtId="172" formatCode="_(* #,##0_);_(* \(#,##0\);_(* &quot;–&quot;??_);_(* @_)"/>
      <fill>
        <patternFill patternType="none">
          <fgColor indexed="64"/>
          <bgColor auto="1"/>
        </patternFill>
      </fill>
      <alignment textRotation="0" wrapText="1"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numFmt numFmtId="166" formatCode="#,##0\ ;\(#,##0\);\-"/>
      <fill>
        <patternFill patternType="none">
          <fgColor indexed="64"/>
          <bgColor auto="1"/>
        </patternFill>
      </fill>
      <alignment textRotation="0" wrapText="1"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numFmt numFmtId="166" formatCode="#,##0\ ;\(#,##0\);\-"/>
      <fill>
        <patternFill patternType="none">
          <fgColor indexed="64"/>
          <bgColor auto="1"/>
        </patternFill>
      </fill>
      <alignment textRotation="0" wrapText="1"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numFmt numFmtId="166" formatCode="#,##0\ ;\(#,##0\);\-"/>
      <fill>
        <patternFill patternType="none">
          <fgColor indexed="64"/>
          <bgColor auto="1"/>
        </patternFill>
      </fill>
    </dxf>
    <dxf>
      <fill>
        <patternFill patternType="none">
          <fgColor indexed="64"/>
          <bgColor auto="1"/>
        </patternFill>
      </fill>
    </dxf>
    <dxf>
      <fill>
        <patternFill patternType="none">
          <fgColor indexed="64"/>
          <bgColor auto="1"/>
        </patternFill>
      </fill>
    </dxf>
    <dxf>
      <numFmt numFmtId="166" formatCode="#,##0\ ;\(#,##0\);\-"/>
      <fill>
        <patternFill patternType="none">
          <fgColor indexed="64"/>
          <bgColor auto="1"/>
        </patternFill>
      </fill>
    </dxf>
    <dxf>
      <fill>
        <patternFill patternType="none">
          <fgColor indexed="64"/>
          <bgColor auto="1"/>
        </patternFill>
      </fill>
    </dxf>
    <dxf>
      <fill>
        <patternFill patternType="none">
          <fgColor indexed="64"/>
          <bgColor auto="1"/>
        </patternFill>
      </fill>
    </dxf>
    <dxf>
      <numFmt numFmtId="166" formatCode="#,##0\ ;\(#,##0\);\-"/>
      <fill>
        <patternFill patternType="none">
          <fgColor indexed="64"/>
          <bgColor auto="1"/>
        </patternFill>
      </fill>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numFmt numFmtId="166" formatCode="#,##0\ ;\(#,##0\);\-"/>
      <fill>
        <patternFill patternType="none">
          <fgColor indexed="64"/>
          <bgColor auto="1"/>
        </patternFill>
      </fill>
    </dxf>
    <dxf>
      <fill>
        <patternFill patternType="none">
          <fgColor indexed="64"/>
          <bgColor auto="1"/>
        </patternFill>
      </fill>
    </dxf>
    <dxf>
      <fill>
        <patternFill patternType="none">
          <fgColor indexed="64"/>
          <bgColor auto="1"/>
        </patternFill>
      </fill>
      <alignment horizontal="right" vertical="bottom" textRotation="0" wrapText="0"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numFmt numFmtId="166" formatCode="#,##0\ ;\(#,##0\);\-"/>
      <fill>
        <patternFill patternType="none">
          <fgColor indexed="64"/>
          <bgColor auto="1"/>
        </patternFill>
      </fill>
    </dxf>
    <dxf>
      <fill>
        <patternFill patternType="none">
          <fgColor indexed="64"/>
          <bgColor auto="1"/>
        </patternFill>
      </fill>
    </dxf>
    <dxf>
      <fill>
        <patternFill patternType="none">
          <fgColor indexed="64"/>
          <bgColor auto="1"/>
        </patternFill>
      </fill>
    </dxf>
    <dxf>
      <numFmt numFmtId="172" formatCode="_(* #,##0_);_(* \(#,##0\);_(* &quot;–&quot;??_);_(* @_)"/>
      <fill>
        <patternFill patternType="none">
          <fgColor indexed="64"/>
          <bgColor auto="1"/>
        </patternFill>
      </fill>
    </dxf>
    <dxf>
      <numFmt numFmtId="166" formatCode="#,##0\ ;\(#,##0\);\-"/>
      <fill>
        <patternFill patternType="none">
          <fgColor indexed="64"/>
          <bgColor auto="1"/>
        </patternFill>
      </fill>
    </dxf>
    <dxf>
      <numFmt numFmtId="166" formatCode="#,##0\ ;\(#,##0\);\-"/>
      <fill>
        <patternFill patternType="none">
          <fgColor indexed="64"/>
          <bgColor auto="1"/>
        </patternFill>
      </fill>
    </dxf>
    <dxf>
      <font>
        <b val="0"/>
      </font>
    </dxf>
    <dxf>
      <numFmt numFmtId="166" formatCode="#,##0\ ;\(#,##0\);\-"/>
    </dxf>
    <dxf>
      <numFmt numFmtId="166" formatCode="#,##0\ ;\(#,##0\);\-"/>
    </dxf>
    <dxf>
      <numFmt numFmtId="166" formatCode="#,##0\ ;\(#,##0\);\-"/>
    </dxf>
    <dxf>
      <numFmt numFmtId="166" formatCode="#,##0\ ;\(#,##0\);\-"/>
    </dxf>
    <dxf>
      <numFmt numFmtId="166" formatCode="#,##0\ ;\(#,##0\);\-"/>
    </dxf>
    <dxf>
      <numFmt numFmtId="166" formatCode="#,##0\ ;\(#,##0\);\-"/>
      <fill>
        <patternFill patternType="none">
          <fgColor indexed="64"/>
          <bgColor auto="1"/>
        </patternFill>
      </fill>
    </dxf>
    <dxf>
      <numFmt numFmtId="166" formatCode="#,##0\ ;\(#,##0\);\-"/>
      <fill>
        <patternFill patternType="none">
          <fgColor indexed="64"/>
          <bgColor auto="1"/>
        </patternFill>
      </fill>
    </dxf>
    <dxf>
      <numFmt numFmtId="166" formatCode="#,##0\ ;\(#,##0\);\-"/>
      <fill>
        <patternFill patternType="none">
          <fgColor indexed="64"/>
          <bgColor auto="1"/>
        </patternFill>
      </fill>
    </dxf>
    <dxf>
      <numFmt numFmtId="172" formatCode="_(* #,##0_);_(* \(#,##0\);_(* &quot;–&quot;??_);_(* @_)"/>
    </dxf>
    <dxf>
      <numFmt numFmtId="166" formatCode="#,##0\ ;\(#,##0\);\-"/>
    </dxf>
    <dxf>
      <numFmt numFmtId="166" formatCode="#,##0\ ;\(#,##0\);\-"/>
    </dxf>
    <dxf>
      <numFmt numFmtId="166" formatCode="#,##0\ ;\(#,##0\);\-"/>
    </dxf>
    <dxf>
      <numFmt numFmtId="166" formatCode="#,##0\ ;\(#,##0\);\-"/>
    </dxf>
    <dxf>
      <numFmt numFmtId="166" formatCode="#,##0\ ;\(#,##0\);\-"/>
    </dxf>
    <dxf>
      <numFmt numFmtId="166" formatCode="#,##0\ ;\(#,##0\);\-"/>
    </dxf>
    <dxf>
      <font>
        <b/>
      </font>
      <numFmt numFmtId="180" formatCode="_(* #,##0.00%_);_(* \(#,##0.00%\);_(* &quot;–&quot;???_);_(* @_)"/>
    </dxf>
    <dxf>
      <font>
        <b/>
      </font>
      <numFmt numFmtId="180" formatCode="_(* #,##0.00%_);_(* \(#,##0.00%\);_(* &quot;–&quot;???_);_(* @_)"/>
    </dxf>
    <dxf>
      <font>
        <b/>
      </font>
      <numFmt numFmtId="180" formatCode="_(* #,##0.00%_);_(* \(#,##0.00%\);_(* &quot;–&quot;???_);_(* @_)"/>
    </dxf>
    <dxf>
      <font>
        <b/>
      </font>
      <fill>
        <patternFill patternType="solid">
          <fgColor indexed="64"/>
          <bgColor rgb="FFD5EFFF"/>
        </patternFill>
      </fill>
      <border diagonalUp="0" diagonalDown="0">
        <left/>
        <right/>
        <top style="thin">
          <color theme="2" tint="-9.9978637043366805E-2"/>
        </top>
        <bottom/>
        <vertical/>
        <horizontal/>
      </border>
    </dxf>
    <dxf>
      <font>
        <i val="0"/>
      </font>
    </dxf>
    <dxf>
      <font>
        <i/>
        <sz val="9"/>
      </font>
      <fill>
        <patternFill patternType="solid">
          <fgColor indexed="64"/>
          <bgColor theme="3" tint="0.79998168889431442"/>
        </patternFill>
      </fill>
      <border diagonalUp="0" diagonalDown="0">
        <left/>
        <right/>
        <top style="thin">
          <color theme="2" tint="-9.9978637043366805E-2"/>
        </top>
        <bottom style="thin">
          <color theme="2" tint="-9.9978637043366805E-2"/>
        </bottom>
        <vertical/>
        <horizontal/>
      </border>
    </dxf>
    <dxf>
      <font>
        <i/>
        <sz val="9"/>
      </font>
      <fill>
        <patternFill patternType="solid">
          <fgColor indexed="64"/>
          <bgColor theme="3" tint="0.79998168889431442"/>
        </patternFill>
      </fill>
      <border diagonalUp="0" diagonalDown="0">
        <left style="thin">
          <color theme="2" tint="-9.9978637043366805E-2"/>
        </left>
        <right/>
        <top style="thin">
          <color theme="2" tint="-9.9978637043366805E-2"/>
        </top>
        <bottom style="thin">
          <color theme="2" tint="-9.9978637043366805E-2"/>
        </bottom>
        <vertical/>
        <horizontal/>
      </border>
    </dxf>
    <dxf>
      <font>
        <b val="0"/>
        <i val="0"/>
        <strike val="0"/>
        <condense val="0"/>
        <extend val="0"/>
        <outline val="0"/>
        <shadow val="0"/>
        <u val="none"/>
        <vertAlign val="baseline"/>
        <sz val="11"/>
        <color auto="1"/>
        <name val="Calibri"/>
        <family val="2"/>
        <scheme val="minor"/>
      </font>
      <alignment horizontal="left" vertical="center" textRotation="0" wrapText="1" indent="0" justifyLastLine="0" shrinkToFit="0" readingOrder="0"/>
    </dxf>
    <dxf>
      <font>
        <b val="0"/>
        <i val="0"/>
        <strike val="0"/>
        <condense val="0"/>
        <extend val="0"/>
        <outline val="0"/>
        <shadow val="0"/>
        <u/>
        <vertAlign val="baseline"/>
        <sz val="11"/>
        <color theme="4"/>
        <name val="Calibri"/>
        <family val="2"/>
        <scheme val="none"/>
      </font>
      <fill>
        <patternFill patternType="solid">
          <fgColor indexed="64"/>
          <bgColor theme="0"/>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11"/>
        <color auto="1"/>
        <name val="Calibri"/>
        <family val="2"/>
        <scheme val="minor"/>
      </font>
      <numFmt numFmtId="1" formatCode="0"/>
      <alignment horizontal="center" vertical="center" textRotation="0" wrapText="0" indent="0" justifyLastLine="0" shrinkToFit="0" readingOrder="0"/>
    </dxf>
    <dxf>
      <border outline="0">
        <left style="thin">
          <color theme="1"/>
        </left>
        <top style="thin">
          <color theme="1"/>
        </top>
      </border>
    </dxf>
    <dxf>
      <fill>
        <patternFill patternType="solid">
          <fgColor rgb="FFCCE7EA"/>
          <bgColor rgb="FFCCE7EA"/>
        </patternFill>
      </fill>
    </dxf>
    <dxf>
      <fill>
        <patternFill patternType="solid">
          <fgColor rgb="FFCCE7EA"/>
          <bgColor rgb="FFCCE7EA"/>
        </patternFill>
      </fill>
    </dxf>
    <dxf>
      <font>
        <b/>
        <color rgb="FFBF2E1A"/>
      </font>
    </dxf>
    <dxf>
      <font>
        <b/>
        <color rgb="FFBF2E1A"/>
      </font>
    </dxf>
    <dxf>
      <font>
        <b/>
        <color rgb="FFBF2E1A"/>
      </font>
      <border>
        <top style="double">
          <color rgb="FF2E666C"/>
        </top>
      </border>
    </dxf>
    <dxf>
      <font>
        <color theme="0"/>
      </font>
      <fill>
        <patternFill patternType="solid">
          <fgColor rgb="FF2E666C"/>
          <bgColor rgb="FF2E666C"/>
        </patternFill>
      </fill>
    </dxf>
    <dxf>
      <font>
        <color auto="1"/>
      </font>
      <border>
        <left style="thin">
          <color rgb="FF68B7BF"/>
        </left>
        <right style="thin">
          <color rgb="FF68B7BF"/>
        </right>
        <top style="thin">
          <color rgb="FF68B7BF"/>
        </top>
        <bottom style="thin">
          <color rgb="FF68B7BF"/>
        </bottom>
        <horizontal style="thin">
          <color rgb="FF68B7BF"/>
        </horizontal>
      </border>
    </dxf>
  </dxfs>
  <tableStyles count="1" defaultTableStyle="TableStyleMedium2" defaultPivotStyle="PivotStyleMedium9">
    <tableStyle name="cc_TableStyle" pivot="0" count="7" xr9:uid="{A7E7AB30-1E7C-4EEF-81D5-C71B420C74CC}">
      <tableStyleElement type="wholeTable" dxfId="425"/>
      <tableStyleElement type="headerRow" dxfId="424"/>
      <tableStyleElement type="totalRow" dxfId="423"/>
      <tableStyleElement type="firstColumn" dxfId="422"/>
      <tableStyleElement type="lastColumn" dxfId="421"/>
      <tableStyleElement type="firstRowStripe" dxfId="420"/>
      <tableStyleElement type="firstColumnStripe" dxfId="41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worksheet" Target="worksheets/sheet8.xml" Id="rId8" /><Relationship Type="http://schemas.openxmlformats.org/officeDocument/2006/relationships/worksheet" Target="worksheets/sheet13.xml" Id="rId13" /><Relationship Type="http://schemas.openxmlformats.org/officeDocument/2006/relationships/worksheet" Target="worksheets/sheet18.xml" Id="rId18" /><Relationship Type="http://schemas.openxmlformats.org/officeDocument/2006/relationships/sheetMetadata" Target="metadata.xml" Id="rId26" /><Relationship Type="http://schemas.openxmlformats.org/officeDocument/2006/relationships/worksheet" Target="worksheets/sheet3.xml" Id="rId3" /><Relationship Type="http://schemas.openxmlformats.org/officeDocument/2006/relationships/worksheet" Target="worksheets/sheet21.xml" Id="rId21" /><Relationship Type="http://schemas.openxmlformats.org/officeDocument/2006/relationships/worksheet" Target="worksheets/sheet7.xml" Id="rId7" /><Relationship Type="http://schemas.openxmlformats.org/officeDocument/2006/relationships/worksheet" Target="worksheets/sheet12.xml" Id="rId12" /><Relationship Type="http://schemas.openxmlformats.org/officeDocument/2006/relationships/worksheet" Target="worksheets/sheet17.xml" Id="rId17" /><Relationship Type="http://schemas.openxmlformats.org/officeDocument/2006/relationships/sharedStrings" Target="sharedStrings.xml" Id="rId25" /><Relationship Type="http://schemas.openxmlformats.org/officeDocument/2006/relationships/worksheet" Target="worksheets/sheet2.xml" Id="rId2" /><Relationship Type="http://schemas.openxmlformats.org/officeDocument/2006/relationships/worksheet" Target="worksheets/sheet16.xml" Id="rId16" /><Relationship Type="http://schemas.openxmlformats.org/officeDocument/2006/relationships/worksheet" Target="worksheets/sheet20.xml" Id="rId20" /><Relationship Type="http://schemas.openxmlformats.org/officeDocument/2006/relationships/customXml" Target="../customXml/item1.xml" Id="rId29" /><Relationship Type="http://schemas.openxmlformats.org/officeDocument/2006/relationships/worksheet" Target="worksheets/sheet1.xml" Id="rId1" /><Relationship Type="http://schemas.openxmlformats.org/officeDocument/2006/relationships/worksheet" Target="worksheets/sheet6.xml" Id="rId6" /><Relationship Type="http://schemas.openxmlformats.org/officeDocument/2006/relationships/worksheet" Target="worksheets/sheet11.xml" Id="rId11" /><Relationship Type="http://schemas.openxmlformats.org/officeDocument/2006/relationships/styles" Target="styles.xml" Id="rId24" /><Relationship Type="http://schemas.openxmlformats.org/officeDocument/2006/relationships/worksheet" Target="worksheets/sheet5.xml" Id="rId5" /><Relationship Type="http://schemas.openxmlformats.org/officeDocument/2006/relationships/worksheet" Target="worksheets/sheet15.xml" Id="rId15" /><Relationship Type="http://schemas.openxmlformats.org/officeDocument/2006/relationships/theme" Target="theme/theme1.xml" Id="rId23" /><Relationship Type="http://schemas.openxmlformats.org/officeDocument/2006/relationships/calcChain" Target="calcChain.xml" Id="rId28" /><Relationship Type="http://schemas.openxmlformats.org/officeDocument/2006/relationships/worksheet" Target="worksheets/sheet10.xml" Id="rId10" /><Relationship Type="http://schemas.openxmlformats.org/officeDocument/2006/relationships/worksheet" Target="worksheets/sheet19.xml" Id="rId19" /><Relationship Type="http://schemas.openxmlformats.org/officeDocument/2006/relationships/worksheet" Target="worksheets/sheet4.xml" Id="rId4" /><Relationship Type="http://schemas.openxmlformats.org/officeDocument/2006/relationships/worksheet" Target="worksheets/sheet9.xml" Id="rId9" /><Relationship Type="http://schemas.openxmlformats.org/officeDocument/2006/relationships/worksheet" Target="worksheets/sheet14.xml" Id="rId14" /><Relationship Type="http://schemas.openxmlformats.org/officeDocument/2006/relationships/worksheet" Target="worksheets/sheet22.xml" Id="rId22" /><Relationship Type="http://schemas.microsoft.com/office/2022/11/relationships/FeaturePropertyBag" Target="featurePropertyBag/featurePropertyBag.xml" Id="rId27" /><Relationship Type="http://schemas.microsoft.com/office/2023/09/relationships/Python" Target="python.xml" Id="rId30" /><Relationship Type="http://schemas.openxmlformats.org/officeDocument/2006/relationships/customXml" Target="/customXML/item2.xml" Id="imanage.xml" /></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312420</xdr:colOff>
      <xdr:row>1</xdr:row>
      <xdr:rowOff>22860</xdr:rowOff>
    </xdr:from>
    <xdr:to>
      <xdr:col>1</xdr:col>
      <xdr:colOff>1230630</xdr:colOff>
      <xdr:row>1</xdr:row>
      <xdr:rowOff>723900</xdr:rowOff>
    </xdr:to>
    <xdr:pic>
      <xdr:nvPicPr>
        <xdr:cNvPr id="2" name="Picture 6" descr="ComComNZ colour.jpg">
          <a:extLst>
            <a:ext uri="{FF2B5EF4-FFF2-40B4-BE49-F238E27FC236}">
              <a16:creationId xmlns:a16="http://schemas.microsoft.com/office/drawing/2014/main" id="{D012AB77-A8C7-4FD1-8B68-0DA4D3FB56F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2420" y="190500"/>
          <a:ext cx="2377440" cy="701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A0CEB776-909C-4C6A-81FB-FB588634E0B6}" name="tb__toc" displayName="tb__toc" ref="A3:C22" totalsRowShown="0" tableBorderDxfId="418">
  <autoFilter ref="A3:C22" xr:uid="{F2CF1C7F-DA20-484B-A705-B19D93AC0434}"/>
  <tableColumns count="3">
    <tableColumn id="1" xr3:uid="{C975D9FD-68B4-4040-BD3E-FFFF5D27727D}" name="Schedule" dataDxfId="417"/>
    <tableColumn id="2" xr3:uid="{1B364BDE-9A19-4958-9AA1-0C2E047F908E}" name="Schedule name" dataDxfId="416"/>
    <tableColumn id="3" xr3:uid="{BF9710AF-8D52-4BB8-8967-F8AB0F7FE94F}" name="Sheet name" dataDxfId="415"/>
  </tableColumns>
  <tableStyleInfo name="cc_TableStyl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35452B9-74F9-4FD5-8EC1-8D9D20A066E6}" name="tb_s1_1a_1__internal_rates_of_return" displayName="tb_s1_1a_1__internal_rates_of_return" ref="A5:G7" totalsRowShown="0">
  <autoFilter ref="A5:G7" xr:uid="{935452B9-74F9-4FD5-8EC1-8D9D20A066E6}"/>
  <tableColumns count="7">
    <tableColumn id="1" xr3:uid="{8922DBA6-A919-43C6-9EE4-5CBAC3CC3447}" name="Section" dataDxfId="414"/>
    <tableColumn id="2" xr3:uid="{692C86AE-5A93-40C8-9963-5FF6A9B95F4E}" name="Row" dataDxfId="413">
      <calculatedColumnFormula>ROW()</calculatedColumnFormula>
    </tableColumn>
    <tableColumn id="3" xr3:uid="{75C32950-5369-457A-98C3-66AD04862A90}" name="Context" dataDxfId="412"/>
    <tableColumn id="4" xr3:uid="{22C329E3-C6F4-4054-AF1B-9AF611251613}" name="Category1" dataDxfId="411"/>
    <tableColumn id="6" xr3:uid="{4C380BC2-05A6-4A2C-835A-AF3CBE6EECAA}" name="Actual for Current Disclosure Year" dataDxfId="410" dataCellStyle="Formula"/>
    <tableColumn id="7" xr3:uid="{8D0AAA08-B1A1-4D49-B8B8-24B6B7853017}" name="Forecast for Current Disclosure Year" dataDxfId="409" dataCellStyle="Formula"/>
    <tableColumn id="8" xr3:uid="{EA4A06A3-579A-486F-85F4-64745FA7EAC6}" name="Variance" dataDxfId="408" dataCellStyle="Formula"/>
  </tableColumns>
  <tableStyleInfo name="cc_TableStyl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B984C67-FCB7-4423-8EC4-18B1C26EECBD}" name="tb_s1_1ai_1__pricing_period_to_date_irr" displayName="tb_s1_1ai_1__pricing_period_to_date_irr" ref="A11:G23" totalsRowShown="0">
  <autoFilter ref="A11:G23" xr:uid="{2B984C67-FCB7-4423-8EC4-18B1C26EECBD}"/>
  <tableColumns count="7">
    <tableColumn id="1" xr3:uid="{28FEFA88-0DD3-4F9D-8062-F639FE60E2EC}" name="Section" dataCellStyle="Context_columns"/>
    <tableColumn id="2" xr3:uid="{291E0B79-F679-46C2-A887-DDFB7D6272ED}" name="Row" dataCellStyle="Context_columns">
      <calculatedColumnFormula>ROW()</calculatedColumnFormula>
    </tableColumn>
    <tableColumn id="3" xr3:uid="{BD62C8D4-4B73-45F6-A243-ABB12AACC883}" name="Context" dataCellStyle="Context_columns"/>
    <tableColumn id="4" xr3:uid="{85B6D163-33E7-4EC4-A7EC-0B55594FBA8D}" name="Category1"/>
    <tableColumn id="6" xr3:uid="{DB3911FE-D8DB-4DB7-917F-7C49A94C7C81}" name="Actual for Period to Date | ($000 unless otherwise specified)" dataDxfId="407" dataCellStyle="Formula"/>
    <tableColumn id="7" xr3:uid="{96FDB63D-3D3A-4298-AC89-2005CB3CD157}" name="Forecast for Period to Date | ($000 unless otherwise specified)" dataDxfId="406"/>
    <tableColumn id="8" xr3:uid="{224F6D6D-ED9E-434E-A204-3104B9EFA198}" name="Variance | ($000 unless otherwise specified)" dataDxfId="405" dataCellStyle="Formula">
      <calculatedColumnFormula>IF(OR(E12="",F12=""),"",E12-F12)</calculatedColumnFormula>
    </tableColumn>
  </tableColumns>
  <tableStyleInfo name="cc_TableStyle"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7B95083-AA72-4893-A9F6-7BCAD41EE4E5}" name="tb_s1_1c_1__carry_forward_balance" displayName="tb_s1_1c_1__carry_forward_balance" ref="A71:G77" totalsRowShown="0">
  <autoFilter ref="A71:G77" xr:uid="{A7B95083-AA72-4893-A9F6-7BCAD41EE4E5}"/>
  <tableColumns count="7">
    <tableColumn id="1" xr3:uid="{2C39BA59-7CA1-4414-9935-CE33C4CBD1D2}" name="Section" dataCellStyle="Context_columns"/>
    <tableColumn id="2" xr3:uid="{3D8F2411-7D96-4FD3-B338-99EBF8F7B3A9}" name="Row" dataCellStyle="Context_columns">
      <calculatedColumnFormula>ROW()</calculatedColumnFormula>
    </tableColumn>
    <tableColumn id="3" xr3:uid="{B2719ED5-3E9F-44D3-8A1A-5FBD5C8DA598}" name="Context" dataCellStyle="Context_columns"/>
    <tableColumn id="4" xr3:uid="{602FEAAB-D2AA-43C7-8E35-C0A5917A35AC}" name="Category1" dataCellStyle="Standard_category_row"/>
    <tableColumn id="6" xr3:uid="{67F86CEF-F37D-45BD-80DB-536551DA44C8}" name="Actual" dataDxfId="404"/>
    <tableColumn id="7" xr3:uid="{CB4EC0BA-ED75-42A0-AA95-20D6E17204FD}" name="Forecast " dataDxfId="403"/>
    <tableColumn id="8" xr3:uid="{5C8D6878-6D2A-4C9E-AFC6-0EC0B62AD5A6}" name="Variance" dataDxfId="402">
      <calculatedColumnFormula>E72-F72</calculatedColumnFormula>
    </tableColumn>
  </tableColumns>
  <tableStyleInfo name="cc_TableStyle"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29B7484-913B-43B5-9CAD-C14D953FDF27}" name="tb_s1_1d_1__cash_flow_timing_assumptions" displayName="tb_s1_1d_1__cash_flow_timing_assumptions" ref="A82:E84" totalsRowShown="0">
  <autoFilter ref="A82:E84" xr:uid="{229B7484-913B-43B5-9CAD-C14D953FDF27}"/>
  <tableColumns count="5">
    <tableColumn id="1" xr3:uid="{E8349D20-12DE-4247-81D5-B64DBD8DE66E}" name="Section" dataCellStyle="Context_columns"/>
    <tableColumn id="2" xr3:uid="{C5A27BF1-B6DA-497C-94A5-528C22C12706}" name="Row" dataCellStyle="Context_columns">
      <calculatedColumnFormula>ROW()</calculatedColumnFormula>
    </tableColumn>
    <tableColumn id="3" xr3:uid="{FF11B18D-9DC5-47F3-B708-EC87DBAFF39B}" name="Context" dataCellStyle="Context_columns"/>
    <tableColumn id="4" xr3:uid="{556CE91B-E89F-4E0A-AE4D-AA7C5DAC03F7}" name="Category1" dataCellStyle="Standard_category_row"/>
    <tableColumn id="6" xr3:uid="{A7CA4C42-D278-4D45-80CF-39B838935333}" name="Forecast cash flow timing assumption" dataDxfId="401" dataCellStyle="Data_Entry"/>
  </tableColumns>
  <tableStyleInfo name="cc_TableStyle"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C4B9C8B-40CF-49BA-9010-E752E589B984}" name="tb_s1_1aii_1__current_year_annual_irr" displayName="tb_s1_1aii_1__current_year_annual_irr" ref="A27:G39" totalsRowShown="0">
  <autoFilter ref="A27:G39" xr:uid="{A0A0328C-A808-4B08-A611-AF50910843DB}"/>
  <tableColumns count="7">
    <tableColumn id="1" xr3:uid="{BF9E8CD9-83CE-4DA9-B58E-E25A123869A7}" name="Section" dataCellStyle="Context_columns"/>
    <tableColumn id="2" xr3:uid="{2BF03366-2AAD-4E20-8BB3-8C306FAB6BDA}" name="Row" dataCellStyle="Context_columns">
      <calculatedColumnFormula>ROW()</calculatedColumnFormula>
    </tableColumn>
    <tableColumn id="3" xr3:uid="{5571CE42-ACEF-47E3-992E-9FB90057338D}" name="Context" dataCellStyle="Context_columns"/>
    <tableColumn id="4" xr3:uid="{0B2F2B5E-0CF9-4AB5-8B57-52881C9E03BE}" name="Category1"/>
    <tableColumn id="6" xr3:uid="{7875D7C2-85EE-4746-B16D-B3419DBBF84D}" name="Actual for Current Disclosure Year | ($000 unless otherwise specified)" dataDxfId="400" dataCellStyle="Formula"/>
    <tableColumn id="7" xr3:uid="{2C679F46-05E4-4234-A652-D86BB0FA9930}" name="Forecast for Current Disclosure Year | ($000 unless otherwise specified)" dataDxfId="399"/>
    <tableColumn id="8" xr3:uid="{374A2EBE-909B-47AC-9EAC-C5D8E70957C5}" name="Variance | ($000 unless otherwise specified)" dataDxfId="398" dataCellStyle="Formula">
      <calculatedColumnFormula>IF(OR(E28="",F28=""),"",E28-F28)</calculatedColumnFormula>
    </tableColumn>
  </tableColumns>
  <tableStyleInfo name="cc_TableStyle"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C7BFD8D1-90A5-4BD4-ACB5-8E30865FB0A6}" name="tb_s1_1b_1__actual_irr_inputs" displayName="tb_s1_1b_1__actual_irr_inputs" ref="A44:I67" totalsRowShown="0">
  <autoFilter ref="A44:I67" xr:uid="{E7613C78-1A00-4C99-A818-102BE7628EE6}"/>
  <tableColumns count="9">
    <tableColumn id="1" xr3:uid="{2A22DEAE-51AA-43B1-9690-DF2872E8DFBE}" name="Section" dataCellStyle="Context_columns"/>
    <tableColumn id="2" xr3:uid="{DC1BFFE0-D11F-4F31-AFA4-EAE4D5C758ED}" name="Row" dataCellStyle="Context_columns">
      <calculatedColumnFormula>ROW()</calculatedColumnFormula>
    </tableColumn>
    <tableColumn id="3" xr3:uid="{917CE5EF-AC6D-40C4-AFA2-D3B5943E980C}" name="Context" dataCellStyle="Context_columns"/>
    <tableColumn id="4" xr3:uid="{F4D42BD4-B0C3-4164-A9D4-9D65F8BBDEDB}" name="Category1"/>
    <tableColumn id="6" xr3:uid="{D93A5503-5912-4938-8FE1-19585A137CA1}" name="Pricing Period Starting Year" dataDxfId="397"/>
    <tableColumn id="7" xr3:uid="{87D2B5E6-84F0-4EB7-8CEB-A9CB77F12F33}" name="Pricing Period Starting Year + 1" dataDxfId="396"/>
    <tableColumn id="8" xr3:uid="{83870D78-F052-4155-A677-1200EACDCAD2}" name="Pricing Period Starting Year + 2" dataDxfId="395"/>
    <tableColumn id="9" xr3:uid="{ACDB82A8-C502-459B-9787-82FFDC8CEAF6}" name="Pricing Period Starting Year + 3" dataDxfId="394"/>
    <tableColumn id="10" xr3:uid="{30E3DD9E-62A1-41E5-A045-A2C56CE1E9E5}" name="Pricing Period Starting Year + 4" dataDxfId="393"/>
  </tableColumns>
  <tableStyleInfo name="cc_TableStyle"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5DFA8864-5075-4DB2-A6BF-ACDE7393E1EF}" name="tb_s2_2a_1__regulatory_profit" displayName="tb_s2_2a_1__regulatory_profit" ref="A5:H27" totalsRowShown="0">
  <autoFilter ref="A5:H27" xr:uid="{5DFA8864-5075-4DB2-A6BF-ACDE7393E1EF}"/>
  <tableColumns count="8">
    <tableColumn id="1" xr3:uid="{2B9AC46B-40BD-4D5A-8AAC-9FB2522DDD5C}" name="Section" dataCellStyle="Context_columns"/>
    <tableColumn id="2" xr3:uid="{A6F9D757-97EB-4BDB-84D2-D3C6588709DF}" name="Row" dataCellStyle="Context_columns">
      <calculatedColumnFormula>ROW()</calculatedColumnFormula>
    </tableColumn>
    <tableColumn id="3" xr3:uid="{C31CA4C3-8A34-432B-AB73-40742F9E7C54}" name="Context" dataCellStyle="Context_columns"/>
    <tableColumn id="4" xr3:uid="{C2BCBF8C-042B-45DF-91BE-5780DCB58CE9}" name="Category1" dataDxfId="392"/>
    <tableColumn id="5" xr3:uid="{7796A42E-C973-4D0B-BF07-6865685AEA0B}" name="Category2"/>
    <tableColumn id="6" xr3:uid="{E2CBFE76-C5D7-4947-884C-1672A77AE925}" name="Actual | ($000 unless otherwise specified)" dataDxfId="391" dataCellStyle="Formula"/>
    <tableColumn id="7" xr3:uid="{00729072-9C80-400C-9420-401F0F3363E9}" name="Forecast | ($000 unless otherwise specified)" dataDxfId="390" dataCellStyle="Formula"/>
    <tableColumn id="8" xr3:uid="{8E8668CA-290B-4049-B293-90AABE9A3542}" name="Variance| ($000 unless otherwise specified)" dataDxfId="389" dataCellStyle="Formula">
      <calculatedColumnFormula>IF(OR(F6="",G6=""),"",F6-G6)</calculatedColumnFormula>
    </tableColumn>
  </tableColumns>
  <tableStyleInfo name="cc_TableStyle"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DF975D57-F6D3-4F74-9F67-82C38851B503}" name="tb_s2_2b_1__notes_to_the_report" displayName="tb_s2_2b_1__notes_to_the_report" ref="A31:F36" totalsRowShown="0">
  <autoFilter ref="A31:F36" xr:uid="{DF975D57-F6D3-4F74-9F67-82C38851B503}"/>
  <tableColumns count="6">
    <tableColumn id="1" xr3:uid="{30D8C26C-7A34-4D3A-BDCE-62760EE40C17}" name="Section" dataCellStyle="Context_columns"/>
    <tableColumn id="2" xr3:uid="{A855BEF4-F436-41BE-AD83-BC6DED85E733}" name="Row" dataCellStyle="Context_columns">
      <calculatedColumnFormula>ROW()</calculatedColumnFormula>
    </tableColumn>
    <tableColumn id="3" xr3:uid="{0BBDDBE6-9AF2-43DB-BCCE-3DB0F68F0C5D}" name="Context" dataCellStyle="Context_columns"/>
    <tableColumn id="4" xr3:uid="{B83963D2-1234-4192-B609-F7EE5F38BE9A}" name="Category1" dataDxfId="388"/>
    <tableColumn id="5" xr3:uid="{E4DF2257-6F67-4F99-846B-DB95A7E4A160}" name="Category2" dataDxfId="387"/>
    <tableColumn id="6" xr3:uid="{9B1339EE-4DD8-478A-B71A-7094A68D587E}" name="($000)" dataDxfId="386" dataCellStyle="Formula"/>
  </tableColumns>
  <tableStyleInfo name="cc_TableStyle"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6E5161A0-627C-4D40-9F1A-B03FA01E6229}" name="tb_s3_3a_1__regulatory_tax_allowance" displayName="tb_s3_3a_1__regulatory_tax_allowance" ref="A5:E23" totalsRowShown="0" dataDxfId="385">
  <autoFilter ref="A5:E23" xr:uid="{6E5161A0-627C-4D40-9F1A-B03FA01E6229}"/>
  <sortState xmlns:xlrd2="http://schemas.microsoft.com/office/spreadsheetml/2017/richdata2" ref="A6:E21">
    <sortCondition ref="D5:D21"/>
  </sortState>
  <tableColumns count="5">
    <tableColumn id="1" xr3:uid="{AC421001-0E8D-4D7D-B163-1E1A6499BF73}" name="Section" dataDxfId="384" dataCellStyle="Context_columns"/>
    <tableColumn id="2" xr3:uid="{00F909FC-BD83-4DFA-9D65-F639591A4328}" name="Row" dataDxfId="383" dataCellStyle="Context_columns">
      <calculatedColumnFormula>ROW()</calculatedColumnFormula>
    </tableColumn>
    <tableColumn id="3" xr3:uid="{4C1BBE3C-8E36-4EE0-ABF8-E094C27ABB78}" name="Context" dataDxfId="382" dataCellStyle="Context_columns"/>
    <tableColumn id="4" xr3:uid="{806C1AEC-485A-409F-9623-C30D11ECA999}" name="Category1" dataDxfId="381"/>
    <tableColumn id="6" xr3:uid="{DCED9883-4A76-41FC-ACA3-8BC4D67C33AF}" name="($000 unless otherwise specified)" dataDxfId="380" dataCellStyle="Formula"/>
  </tableColumns>
  <tableStyleInfo name="cc_TableStyle"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51D1736-38CC-4030-95F3-F96E230FE648}" name="tb_s3_3bii_1__tax_depreciation_roll_forward" displayName="tb_s3_3bii_1__tax_depreciation_roll_forward" ref="A33:E40" totalsRowShown="0" dataDxfId="379">
  <autoFilter ref="A33:E40" xr:uid="{C51D1736-38CC-4030-95F3-F96E230FE648}"/>
  <sortState xmlns:xlrd2="http://schemas.microsoft.com/office/spreadsheetml/2017/richdata2" ref="A34:E40">
    <sortCondition ref="D5:D21"/>
  </sortState>
  <tableColumns count="5">
    <tableColumn id="1" xr3:uid="{CD84EA95-CFB0-4A0F-B9EE-FE78F823C13B}" name="Section" dataCellStyle="Context_columns"/>
    <tableColumn id="2" xr3:uid="{E9B36B63-3776-408D-866F-BED0AC605053}" name="Row" dataCellStyle="Context_columns">
      <calculatedColumnFormula>ROW()</calculatedColumnFormula>
    </tableColumn>
    <tableColumn id="3" xr3:uid="{9EEE6B6D-524F-4F59-AE5D-7FB2AD7D967D}" name="Context" dataCellStyle="Context_columns"/>
    <tableColumn id="4" xr3:uid="{9DC6B473-458E-4F18-B80A-DE4904FC4FEF}" name="Category1" dataDxfId="378"/>
    <tableColumn id="6" xr3:uid="{E658F940-CF90-44DB-8639-0C4490DC624A}" name="($000 unless otherwise specified)" dataDxfId="377" dataCellStyle="Formula"/>
  </tableColumns>
  <tableStyleInfo name="cc_TableStyle"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4C60FFAB-5EEA-41C6-A98C-8F484EEEF23E}" name="tb_s3_3biii_1__reconciliation_of_tax_losses_airport_business" displayName="tb_s3_3biii_1__reconciliation_of_tax_losses_airport_business" ref="A44:E48" totalsRowShown="0" dataDxfId="376">
  <autoFilter ref="A44:E48" xr:uid="{4C60FFAB-5EEA-41C6-A98C-8F484EEEF23E}"/>
  <sortState xmlns:xlrd2="http://schemas.microsoft.com/office/spreadsheetml/2017/richdata2" ref="A45:E48">
    <sortCondition ref="D5:D21"/>
  </sortState>
  <tableColumns count="5">
    <tableColumn id="1" xr3:uid="{A7682B99-D55A-4C35-A791-3B18D456E8E2}" name="Section" dataCellStyle="Context_columns"/>
    <tableColumn id="2" xr3:uid="{441ECC97-FAED-4FC9-8A2C-A97D702BBEC9}" name="Row" dataCellStyle="Context_columns">
      <calculatedColumnFormula>ROW()</calculatedColumnFormula>
    </tableColumn>
    <tableColumn id="3" xr3:uid="{26286EEB-74A2-4CBF-8F33-817448B9A9C1}" name="Context" dataCellStyle="Context_columns"/>
    <tableColumn id="4" xr3:uid="{48D74199-033F-4F53-868C-3BB30F3A6969}" name="Category1" dataDxfId="375"/>
    <tableColumn id="6" xr3:uid="{A8435F2B-8115-4199-8F5E-87511FFA2A5A}" name="($000)" dataDxfId="374" dataCellStyle="Formula"/>
  </tableColumns>
  <tableStyleInfo name="cc_TableStyle"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DDECC5E-CA59-4DC9-BD72-529B9D4CC2F3}" name="tb_s3_3biv_1__deductible_interest_and_interest_tax_shield" displayName="tb_s3_3biv_1__deductible_interest_and_interest_tax_shield" ref="A52:E58" totalsRowShown="0" dataDxfId="373">
  <autoFilter ref="A52:E58" xr:uid="{DDDECC5E-CA59-4DC9-BD72-529B9D4CC2F3}"/>
  <sortState xmlns:xlrd2="http://schemas.microsoft.com/office/spreadsheetml/2017/richdata2" ref="A53:E58">
    <sortCondition ref="D5:D21"/>
  </sortState>
  <tableColumns count="5">
    <tableColumn id="1" xr3:uid="{FF2D37CD-6E8B-4A29-9A34-A5A633CD7B29}" name="Section" dataCellStyle="Context_columns"/>
    <tableColumn id="2" xr3:uid="{38299596-8E92-4408-99AC-43779187D7FF}" name="Row" dataCellStyle="Context_columns">
      <calculatedColumnFormula>ROW()</calculatedColumnFormula>
    </tableColumn>
    <tableColumn id="3" xr3:uid="{906EDDDF-B015-4E75-8255-5CB943C98E28}" name="Context" dataCellStyle="Context_columns"/>
    <tableColumn id="4" xr3:uid="{DACEA78A-AB1C-439E-A1C2-91DC66CBFE95}" name="Category1" dataDxfId="372"/>
    <tableColumn id="6" xr3:uid="{AB897F53-3A0C-4512-86A6-1EF65A7EE5C4}" name="($000 unless otherwise specified)" dataDxfId="371" dataCellStyle="Formula"/>
  </tableColumns>
  <tableStyleInfo name="cc_TableStyle"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E8C3F34-21EE-4F32-84BB-266F3B1B0DF8}" name="tb_s4_4a_1__regulatory_asset_base_roll_forward" displayName="tb_s4_4a_1__regulatory_asset_base_roll_forward" ref="A5:G13" totalsRowShown="0" dataDxfId="370">
  <autoFilter ref="A5:G13" xr:uid="{0E8C3F34-21EE-4F32-84BB-266F3B1B0DF8}"/>
  <sortState xmlns:xlrd2="http://schemas.microsoft.com/office/spreadsheetml/2017/richdata2" ref="A6:E13">
    <sortCondition ref="D5:D13"/>
  </sortState>
  <tableColumns count="7">
    <tableColumn id="1" xr3:uid="{E0832C66-15CD-46A1-B97F-D05355D9C805}" name="Section" dataCellStyle="Context_columns"/>
    <tableColumn id="2" xr3:uid="{9372F216-FA7A-4DE8-B49C-5802727083E3}" name="Row" dataCellStyle="Context_columns">
      <calculatedColumnFormula>ROW()</calculatedColumnFormula>
    </tableColumn>
    <tableColumn id="3" xr3:uid="{CB39158D-FED8-4729-90CF-3D6D7F65171B}" name="Context" dataCellStyle="Context_columns"/>
    <tableColumn id="4" xr3:uid="{115AC562-F8A6-4534-9752-B75564450C03}" name="Category1" dataDxfId="369"/>
    <tableColumn id="6" xr3:uid="{AF1796F7-E7F1-4D5F-9080-378E291F887A}" name="Actual ($000)" dataDxfId="368" dataCellStyle="Formula"/>
    <tableColumn id="5" xr3:uid="{FEB69F0A-A0A1-4021-A5D6-AFA894BDACFC}" name="Forecast ($000)" dataDxfId="367"/>
    <tableColumn id="7" xr3:uid="{35F645B5-27B0-488C-99C3-8299D1264408}" name="Variance ($000)" dataDxfId="366">
      <calculatedColumnFormula>IF(OR(E6="",F6=""),"",E6-F6)</calculatedColumnFormula>
    </tableColumn>
  </tableColumns>
  <tableStyleInfo name="cc_TableStyle"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213820E-7AF3-4131-BE7A-EE5F3F7D0FE3}" name="tb_s4_4a_2__regulatory_asset_base_roll_forward_components" displayName="tb_s4_4a_2__regulatory_asset_base_roll_forward_components" ref="A17:F33" totalsRowShown="0" dataDxfId="365">
  <autoFilter ref="A17:F33" xr:uid="{0213820E-7AF3-4131-BE7A-EE5F3F7D0FE3}"/>
  <sortState xmlns:xlrd2="http://schemas.microsoft.com/office/spreadsheetml/2017/richdata2" ref="A18:E30">
    <sortCondition ref="D5:D13"/>
  </sortState>
  <tableColumns count="6">
    <tableColumn id="1" xr3:uid="{671100DA-2A15-4903-9A80-39413636206F}" name="Section" dataDxfId="364" dataCellStyle="Context_columns"/>
    <tableColumn id="2" xr3:uid="{AB826840-5C5D-478F-B2F1-507EB09FD3DA}" name="Row" dataDxfId="363" dataCellStyle="Context_columns">
      <calculatedColumnFormula>ROW()</calculatedColumnFormula>
    </tableColumn>
    <tableColumn id="3" xr3:uid="{C315E13E-79B9-451B-9BAD-5CBE6EDDF994}" name="Context" dataDxfId="362" dataCellStyle="Context_columns"/>
    <tableColumn id="4" xr3:uid="{60A42104-A282-4439-9481-DAB5A04CBA5F}" name="Category1" dataDxfId="361"/>
    <tableColumn id="6" xr3:uid="{8A3FB0FE-DC12-4D54-B9EC-7584921A25EB}" name="Unallocated RAB * ($000)" dataDxfId="360" dataCellStyle="Formula"/>
    <tableColumn id="5" xr3:uid="{0AEF0B7D-51F6-4461-8229-9BC348736FFA}" name="RAB ($000)" dataDxfId="359"/>
  </tableColumns>
  <tableStyleInfo name="cc_TableStyle"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69A8BFCF-0549-4872-B6C6-9E598021DB51}" name="tb_s4_4bi_1__regulatory_depreciation" displayName="tb_s4_4bi_1__regulatory_depreciation" ref="A39:F42" totalsRowShown="0" dataDxfId="358">
  <autoFilter ref="A39:F42" xr:uid="{69A8BFCF-0549-4872-B6C6-9E598021DB51}"/>
  <sortState xmlns:xlrd2="http://schemas.microsoft.com/office/spreadsheetml/2017/richdata2" ref="A40:E42">
    <sortCondition ref="D5:D13"/>
  </sortState>
  <tableColumns count="6">
    <tableColumn id="1" xr3:uid="{3818DA09-B0F8-4DD2-B13D-22A7BA8DE58B}" name="Section" dataDxfId="357" dataCellStyle="Context_columns"/>
    <tableColumn id="2" xr3:uid="{4C84D299-192B-4D04-8B66-1027B1858D4C}" name="Row" dataDxfId="356" dataCellStyle="Context_columns">
      <calculatedColumnFormula>ROW()</calculatedColumnFormula>
    </tableColumn>
    <tableColumn id="3" xr3:uid="{FC98B416-CC5E-49E2-B35E-230A3B3243D2}" name="Context" dataDxfId="355" dataCellStyle="Context_columns"/>
    <tableColumn id="4" xr3:uid="{07F35670-555D-4903-AA2A-E9101662F679}" name="Category1" dataDxfId="354"/>
    <tableColumn id="6" xr3:uid="{5C3B0028-F473-409C-8C9F-468D3F9DAFD3}" name="Unallocated RAB ($000)" dataDxfId="353" dataCellStyle="Formula"/>
    <tableColumn id="5" xr3:uid="{CBC7FE68-DCF7-41E0-BD42-DD8571B693D9}" name="RAB ($000)" dataDxfId="352"/>
  </tableColumns>
  <tableStyleInfo name="cc_TableStyle"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FB879C00-A17B-47CC-9C46-2B19165C9BC2}" name="tb_s4_4bii_1__non_standard_depreciation_disclosure" displayName="tb_s4_4bii_1__non_standard_depreciation_disclosure" ref="A46:H51" totalsRowShown="0" dataDxfId="351">
  <autoFilter ref="A46:H51" xr:uid="{FB879C00-A17B-47CC-9C46-2B19165C9BC2}"/>
  <sortState xmlns:xlrd2="http://schemas.microsoft.com/office/spreadsheetml/2017/richdata2" ref="A47:E51">
    <sortCondition ref="D5:D13"/>
  </sortState>
  <tableColumns count="8">
    <tableColumn id="1" xr3:uid="{96C83EE3-4FA0-4BAB-A681-163A44EEC3B6}" name="Section" dataDxfId="350" dataCellStyle="Context_columns"/>
    <tableColumn id="2" xr3:uid="{CFE11C8D-6D3C-4315-9710-6853BD07DB1C}" name="Row" dataDxfId="349" dataCellStyle="Context_columns">
      <calculatedColumnFormula>ROW()</calculatedColumnFormula>
    </tableColumn>
    <tableColumn id="3" xr3:uid="{0BDD74EB-561A-4A45-9CA6-1C70879D21DD}" name="Context" dataDxfId="348" dataCellStyle="Context_columns"/>
    <tableColumn id="4" xr3:uid="{2F8AC1B0-1BE8-4FAD-9A47-F3B74652077E}" name="Category1 | Non-standard Depreciation Methodology" dataDxfId="347"/>
    <tableColumn id="6" xr3:uid="{E5D54ABF-9B8C-4416-BD16-1B55B00E42BD}" name="Depreciation charge for the period (RAB) | ($000 unless otherwise specified) " dataDxfId="346" dataCellStyle="Formula"/>
    <tableColumn id="5" xr3:uid="{C4CA4ED7-D799-4A0C-B5F9-425B15D997CB}" name="Year change made_x000a_(year ended) | ($000 unless otherwise specified) " dataDxfId="345"/>
    <tableColumn id="7" xr3:uid="{94CBA772-D634-4EB2-8CD8-D921E83AE9E2}" name="RAB value under 'non-standard' depreciation | ($000 unless otherwise specified) " dataDxfId="344"/>
    <tableColumn id="8" xr3:uid="{D73FA8C0-05CF-411B-A0C6-2F5B385C1AF0}" name="RAB value under 'standard' depreciation | ($000 unless otherwise specified) " dataDxfId="343"/>
  </tableColumns>
  <tableStyleInfo name="cc_TableStyle"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F2403CC5-9D1B-4841-B7FE-18D4DCA6E067}" name="tb_s4_4iii_1__calculation_revaluation_rate" displayName="tb_s4_4iii_1__calculation_revaluation_rate" ref="A55:G62" totalsRowShown="0" headerRowDxfId="342">
  <autoFilter ref="A55:G62" xr:uid="{F2403CC5-9D1B-4841-B7FE-18D4DCA6E067}"/>
  <tableColumns count="7">
    <tableColumn id="1" xr3:uid="{CC8A4792-6EF2-412F-A7A2-B6DDB6055D9C}" name="Section" dataDxfId="341" dataCellStyle="Context_columns"/>
    <tableColumn id="2" xr3:uid="{0ED061C3-1DE7-4B84-BB76-C8BDD5F2CF5E}" name="Row" dataCellStyle="Context_columns">
      <calculatedColumnFormula>ROW()</calculatedColumnFormula>
    </tableColumn>
    <tableColumn id="3" xr3:uid="{70ABA536-6206-4E22-9D93-D69ACADB108B}" name="Context" dataCellStyle="Context_columns"/>
    <tableColumn id="4" xr3:uid="{71AFBC52-A58D-449A-B873-A5964DF73A3D}" name="Category1" dataDxfId="340" dataCellStyle="Standard_category_row"/>
    <tableColumn id="7" xr3:uid="{1A483E57-0C5C-47D2-99B9-87E7465EA409}" name="Category2" dataDxfId="339" dataCellStyle="Standard_category_row"/>
    <tableColumn id="5" xr3:uid="{96C1B330-90E4-4D2F-BF35-BA1B028FB07B}" name="Category3 | Units" dataCellStyle="Standard_category_row"/>
    <tableColumn id="6" xr3:uid="{4BDC80BE-FF8C-4FE1-954E-B8749E304DAB}" name="Revaluations " dataDxfId="338"/>
  </tableColumns>
  <tableStyleInfo name="cc_TableStyle"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17034847-9D4B-4E02-B1FC-FA3127416C18}" name="tb_s4_4iii_2__calculation_revaluation_rate" displayName="tb_s4_4iii_2__calculation_revaluation_rate" ref="A65:G70" totalsRowShown="0" dataDxfId="337">
  <autoFilter ref="A65:G70" xr:uid="{17034847-9D4B-4E02-B1FC-FA3127416C18}"/>
  <sortState xmlns:xlrd2="http://schemas.microsoft.com/office/spreadsheetml/2017/richdata2" ref="A66:F70">
    <sortCondition ref="D5:D13"/>
  </sortState>
  <tableColumns count="7">
    <tableColumn id="1" xr3:uid="{BEA8CC26-30B4-40A9-902A-5F152FBDEDA6}" name="Section" dataDxfId="336" dataCellStyle="Context_columns"/>
    <tableColumn id="2" xr3:uid="{AB48870C-2A2F-4E86-9FCB-E0464FA561DE}" name="Row" dataDxfId="335" dataCellStyle="Context_columns">
      <calculatedColumnFormula>ROW()</calculatedColumnFormula>
    </tableColumn>
    <tableColumn id="3" xr3:uid="{724B2905-ECF4-40BB-B875-292CA04ADD4E}" name="Context" dataDxfId="334" dataCellStyle="Context_columns"/>
    <tableColumn id="4" xr3:uid="{01DA1F28-9AA8-41CE-9112-18276EBDB63C}" name="Category1" dataDxfId="333"/>
    <tableColumn id="7" xr3:uid="{4595EC4C-1927-4BAE-9D26-D7C373FF8888}" name="Category2" dataDxfId="332"/>
    <tableColumn id="6" xr3:uid="{48CDEF2C-C853-4E1F-B3DD-7342BCCBCD92}" name="Unallocated RAB ($000 unless otherwise specified)" dataDxfId="331" dataCellStyle="Formula"/>
    <tableColumn id="5" xr3:uid="{7C2BD016-E4E0-42E4-AAD7-1EEC5FE5A6F7}" name="RAB ($000 unless otherwise specified)" dataDxfId="330"/>
  </tableColumns>
  <tableStyleInfo name="cc_TableStyle"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C18E1D49-304F-47A8-84EE-320D2E9536D7}" name="tb_s4_4biv_1__works_under_construction" displayName="tb_s4_4biv_1__works_under_construction" ref="A74:G79" totalsRowShown="0" dataDxfId="329">
  <autoFilter ref="A74:G79" xr:uid="{C18E1D49-304F-47A8-84EE-320D2E9536D7}"/>
  <sortState xmlns:xlrd2="http://schemas.microsoft.com/office/spreadsheetml/2017/richdata2" ref="A75:F79">
    <sortCondition ref="D5:D13"/>
  </sortState>
  <tableColumns count="7">
    <tableColumn id="1" xr3:uid="{D19F7B52-F7CE-4CE8-BA3E-EE8BF679D899}" name="Section" dataDxfId="328" dataCellStyle="Context_columns"/>
    <tableColumn id="2" xr3:uid="{B0D056BB-887E-42F4-9D6A-C3C3DBCDEA19}" name="Row" dataDxfId="327" dataCellStyle="Context_columns">
      <calculatedColumnFormula>ROW()</calculatedColumnFormula>
    </tableColumn>
    <tableColumn id="3" xr3:uid="{675DD4E2-A1D9-4A7D-88A9-F2B24F028DC9}" name="Context" dataDxfId="326" dataCellStyle="Context_columns"/>
    <tableColumn id="4" xr3:uid="{29C3895F-0D73-43C2-8B46-5FFE2B616CDD}" name="Category1" dataDxfId="325"/>
    <tableColumn id="7" xr3:uid="{D6B0422D-CF70-4F17-92E1-8F4DFB8FAEDC}" name="Category2" dataDxfId="324"/>
    <tableColumn id="6" xr3:uid="{CFAE5D9E-37FE-419E-B96E-41BD1D4F0A8B}" name="Unallocated works under construction" dataDxfId="323" dataCellStyle="Formula"/>
    <tableColumn id="5" xr3:uid="{8BFBA71E-10AF-4134-AD62-E0EB7FEE0A15}" name="Allocated works under construction" dataDxfId="322"/>
  </tableColumns>
  <tableStyleInfo name="cc_TableStyle"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F4840A24-B53D-4214-A6DA-68D7DDC26B14}" name="tb_s4_4bv_1__capital_expenditure_by_primary_purpose" displayName="tb_s4_4bv_1__capital_expenditure_by_primary_purpose" ref="A83:E86" totalsRowShown="0" dataDxfId="321">
  <autoFilter ref="A83:E86" xr:uid="{F4840A24-B53D-4214-A6DA-68D7DDC26B14}"/>
  <sortState xmlns:xlrd2="http://schemas.microsoft.com/office/spreadsheetml/2017/richdata2" ref="A84:D86">
    <sortCondition ref="D5:D13"/>
  </sortState>
  <tableColumns count="5">
    <tableColumn id="1" xr3:uid="{A00386EE-AB0B-4F98-B412-15ED54A359D7}" name="Section" dataDxfId="320" dataCellStyle="Context_columns"/>
    <tableColumn id="2" xr3:uid="{8D89B968-9E1C-4437-8E7A-4FE73F6278B0}" name="Row" dataDxfId="319" dataCellStyle="Context_columns">
      <calculatedColumnFormula>ROW()</calculatedColumnFormula>
    </tableColumn>
    <tableColumn id="3" xr3:uid="{AF513EBE-714B-4921-8A22-C96F1A7C9E85}" name="Context" dataDxfId="318" dataCellStyle="Context_columns"/>
    <tableColumn id="4" xr3:uid="{96A803B6-88D4-44C7-BFDC-0359E6272076}" name="Category1" dataDxfId="317"/>
    <tableColumn id="5" xr3:uid="{7BB94CC8-92B1-4467-A183-C5C3849070D3}" name="RAB" dataDxfId="316"/>
  </tableColumns>
  <tableStyleInfo name="cc_TableStyle"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6055E641-EDFF-406B-9865-0661A7AC415E}" name="tb_s4_4bvi_1__asset_classes" displayName="tb_s4_4bvi_1__asset_classes" ref="A90:I99" totalsRowShown="0" dataDxfId="315">
  <autoFilter ref="A90:I99" xr:uid="{6055E641-EDFF-406B-9865-0661A7AC415E}"/>
  <sortState xmlns:xlrd2="http://schemas.microsoft.com/office/spreadsheetml/2017/richdata2" ref="A91:D99">
    <sortCondition ref="D5:D13"/>
  </sortState>
  <tableColumns count="9">
    <tableColumn id="1" xr3:uid="{5AD47252-16F5-4139-A6BF-3534F9EF4526}" name="Section" dataDxfId="314" dataCellStyle="Context_columns"/>
    <tableColumn id="2" xr3:uid="{C903F999-C3BD-470E-B724-E0AF40210968}" name="Row" dataDxfId="313" dataCellStyle="Context_columns">
      <calculatedColumnFormula>ROW()</calculatedColumnFormula>
    </tableColumn>
    <tableColumn id="3" xr3:uid="{4080C4DA-CFA9-4380-AC35-5658CC3629B1}" name="Context" dataDxfId="312" dataCellStyle="Context_columns"/>
    <tableColumn id="4" xr3:uid="{82A01433-476C-4FC2-9937-9E1236585875}" name="Category1" dataDxfId="311"/>
    <tableColumn id="11" xr3:uid="{2B163284-CE1C-4A76-BBB3-6113800FDDB5}" name="Land" dataDxfId="310"/>
    <tableColumn id="10" xr3:uid="{05FB7534-1C66-467A-871C-21C57B8987A8}" name="Sealed Surfaces" dataDxfId="309"/>
    <tableColumn id="9" xr3:uid="{830B95D0-36A8-4742-934E-C9973D2A9F9F}" name="Infrastructure &amp; Buildings" dataDxfId="308"/>
    <tableColumn id="5" xr3:uid="{EA5EBD12-870C-4B41-BF28-19F61EBF2521}" name="Vehicles, Plant &amp; Equipment" dataDxfId="307"/>
    <tableColumn id="12" xr3:uid="{669FC848-C6A2-49D2-B78D-B9799F794802}" name="Total *" dataDxfId="306"/>
  </tableColumns>
  <tableStyleInfo name="cc_TableStyle"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6BD3B1C4-B5D1-4908-A6A3-B29DBF59AA72}" name="tb_s4_4bvii_1__assets_held_for_future_use" displayName="tb_s4_4bvii_1__assets_held_for_future_use" ref="A104:E120" totalsRowShown="0" dataDxfId="305">
  <autoFilter ref="A104:E120" xr:uid="{6BD3B1C4-B5D1-4908-A6A3-B29DBF59AA72}"/>
  <sortState xmlns:xlrd2="http://schemas.microsoft.com/office/spreadsheetml/2017/richdata2" ref="A105:D118">
    <sortCondition ref="D5:D13"/>
  </sortState>
  <tableColumns count="5">
    <tableColumn id="1" xr3:uid="{532FE8BA-BB29-4405-B9BA-4D91FFA89406}" name="Section" dataDxfId="304" dataCellStyle="Context_columns"/>
    <tableColumn id="2" xr3:uid="{B7AA4EA0-1BD6-4182-A067-731A504F7063}" name="Row" dataDxfId="303" dataCellStyle="Context_columns">
      <calculatedColumnFormula>ROW()</calculatedColumnFormula>
    </tableColumn>
    <tableColumn id="3" xr3:uid="{5DFB124F-7088-4D2E-A907-2A153C2FC73B}" name="Context" dataDxfId="302" dataCellStyle="Context_columns"/>
    <tableColumn id="4" xr3:uid="{DF8C95F6-79EA-4E09-8D57-0F7AAAF2E19F}" name="Category1" dataDxfId="301"/>
    <tableColumn id="5" xr3:uid="{EE96ABE6-ADFC-4D1B-A8A4-B94612D8ABEE}" name="RAB ($000 unless otherwise specified)" dataDxfId="300"/>
  </tableColumns>
  <tableStyleInfo name="cc_TableStyle"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F5A6142B-73B4-44FB-94D9-3BABCA4E79D9}" name="tb_s5_5i_1__related_party_transactions" displayName="tb_s5_5i_1__related_party_transactions" ref="A5:D10" totalsRowShown="0" dataDxfId="299">
  <autoFilter ref="A5:D10" xr:uid="{F5A6142B-73B4-44FB-94D9-3BABCA4E79D9}"/>
  <sortState xmlns:xlrd2="http://schemas.microsoft.com/office/spreadsheetml/2017/richdata2" ref="A6:D10">
    <sortCondition ref="C5:C10"/>
  </sortState>
  <tableColumns count="4">
    <tableColumn id="1" xr3:uid="{B43EF449-9AD1-4063-8374-EC7C1CE46536}" name="Section" dataCellStyle="Context_columns"/>
    <tableColumn id="2" xr3:uid="{7E0B905D-9392-48C2-87A3-C06E22124AC9}" name="Row" dataCellStyle="Context_columns">
      <calculatedColumnFormula>ROW()</calculatedColumnFormula>
    </tableColumn>
    <tableColumn id="4" xr3:uid="{AE79AFDE-8C7D-4DFA-B912-F3174D5B640F}" name="Category1" dataCellStyle="Standard_category_row"/>
    <tableColumn id="6" xr3:uid="{D6567599-5E70-4531-98B6-0B41CB5C8350}" name="($000)" dataDxfId="298" dataCellStyle="Formula"/>
  </tableColumns>
  <tableStyleInfo name="cc_TableStyle"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4E98D91C-7BE4-4FE5-8612-BADBAC03F2E6}" name="tb_s5_5ii_1__entities_envolved" displayName="tb_s5_5ii_1__entities_envolved" ref="A14:D20" totalsRowShown="0" dataDxfId="297">
  <autoFilter ref="A14:D20" xr:uid="{4E98D91C-7BE4-4FE5-8612-BADBAC03F2E6}"/>
  <sortState xmlns:xlrd2="http://schemas.microsoft.com/office/spreadsheetml/2017/richdata2" ref="A15:D20">
    <sortCondition ref="C5:C10"/>
  </sortState>
  <tableColumns count="4">
    <tableColumn id="1" xr3:uid="{14EFC350-B92A-4EA1-9B42-8A8528D0B53D}" name="Section" dataCellStyle="Context_columns"/>
    <tableColumn id="2" xr3:uid="{3E13EEFB-5CA7-40FA-A59D-876948F7EA09}" name="Row" dataCellStyle="Context_columns">
      <calculatedColumnFormula>ROW()</calculatedColumnFormula>
    </tableColumn>
    <tableColumn id="4" xr3:uid="{96A100A3-F642-4483-8E27-2727744D03DA}" name="Category1 | Entity Name" dataDxfId="296"/>
    <tableColumn id="6" xr3:uid="{9A0C95EA-4C51-4583-9095-94804BAFE698}" name="Related Party Relationship" dataDxfId="295" dataCellStyle="Formula"/>
  </tableColumns>
  <tableStyleInfo name="cc_TableStyle"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D0233309-6AB9-41C5-9883-F5C057BFDC2A}" name="tb_s5_5iii_1__related_party_transactions" displayName="tb_s5_5iii_1__related_party_transactions" ref="A24:F43" totalsRowShown="0" dataDxfId="294">
  <autoFilter ref="A24:F43" xr:uid="{D0233309-6AB9-41C5-9883-F5C057BFDC2A}"/>
  <sortState xmlns:xlrd2="http://schemas.microsoft.com/office/spreadsheetml/2017/richdata2" ref="A25:D30">
    <sortCondition ref="C5:C10"/>
  </sortState>
  <tableColumns count="6">
    <tableColumn id="1" xr3:uid="{D844055C-95EA-464C-BADF-AFBAFB2F15B1}" name="Section" dataCellStyle="Context_columns"/>
    <tableColumn id="2" xr3:uid="{A9593F6F-55F2-4101-B29F-486194C5A2FA}" name="Row" dataCellStyle="Context_columns"/>
    <tableColumn id="4" xr3:uid="{31A2097D-2BCD-4434-B463-75CDF9DAAF2D}" name="Category1 | Entity Name" dataDxfId="293"/>
    <tableColumn id="6" xr3:uid="{A46165CC-B211-4866-B206-E84CCA4C4421}" name="Description of Transaction" dataDxfId="292" dataCellStyle="Formula"/>
    <tableColumn id="5" xr3:uid="{4086E003-7D13-4D0C-B8C7-04C1856883DB}" name="Average Unit Price_x000a_($)" dataDxfId="291" dataCellStyle="Formula"/>
    <tableColumn id="7" xr3:uid="{69F7A38F-1598-4E22-B04A-204A121EF8D7}" name="Value_x000a_($000)" dataDxfId="290" dataCellStyle="Formula"/>
  </tableColumns>
  <tableStyleInfo name="cc_TableStyle"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91BF1AEF-57BC-47CA-BF7A-D604AAA589DD}" name="tb_s6_6a_1__actual_to_forecast_exp" displayName="tb_s6_6a_1__actual_to_forecast_exp" ref="A5:J12" totalsRowShown="0" dataDxfId="289">
  <autoFilter ref="A5:J12" xr:uid="{91BF1AEF-57BC-47CA-BF7A-D604AAA589DD}"/>
  <sortState xmlns:xlrd2="http://schemas.microsoft.com/office/spreadsheetml/2017/richdata2" ref="A6:E10">
    <sortCondition ref="C5:C10"/>
  </sortState>
  <tableColumns count="10">
    <tableColumn id="1" xr3:uid="{5D7E5993-6EE4-462F-9A4D-FB323B2A2B8A}" name="Section" dataCellStyle="Context_columns"/>
    <tableColumn id="2" xr3:uid="{F5A08790-FFFD-4507-B9C8-66639ACBE707}" name="Row" dataCellStyle="Context_columns">
      <calculatedColumnFormula>ROW()</calculatedColumnFormula>
    </tableColumn>
    <tableColumn id="4" xr3:uid="{1E9A8BB6-599E-45CC-9D09-1927BAF81FD4}" name="Category1" dataDxfId="288"/>
    <tableColumn id="5" xr3:uid="{E23CE0C1-B443-44F6-94B9-F31FBE305378}" name="Category2" dataDxfId="287"/>
    <tableColumn id="6" xr3:uid="{6F41F7D8-A73A-46A6-B171-003922D23449}" name="Actual for Current Disclosure Year (a)" dataDxfId="286" dataCellStyle="Formula"/>
    <tableColumn id="7" xr3:uid="{B694AC1C-E9D8-496C-9844-F1B814B9666C}" name="Forecast for Current Disclosure Year* (b)" dataDxfId="285" dataCellStyle="Formula"/>
    <tableColumn id="8" xr3:uid="{CEB34790-3EDE-45C1-AD65-B88B3C30C34D}" name="% Variance (a)/(b)-1" dataDxfId="284" dataCellStyle="Formula"/>
    <tableColumn id="9" xr3:uid="{9967FC7D-1879-4B15-A547-DC7CFAAD3103}" name="Actual for Period to Date (c)" dataDxfId="283" dataCellStyle="Formula"/>
    <tableColumn id="10" xr3:uid="{FB155903-AC88-466D-BA7D-D8BC8D252653}" name="Forecast for Period to Date* (d)" dataDxfId="282" dataCellStyle="Formula"/>
    <tableColumn id="11" xr3:uid="{6B17D486-4700-49B7-BD6B-737B1199A806}" name="($000) | % Variance (c)/(d)-1" dataDxfId="281" dataCellStyle="Formula"/>
  </tableColumns>
  <tableStyleInfo name="cc_TableStyle"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D2E917CE-16AB-4F33-A77E-B1DD13D26228}" name="tb_s6_6a_2__actual_to_forecast_exp" displayName="tb_s6_6a_2__actual_to_forecast_exp" ref="A16:J27" totalsRowShown="0" dataDxfId="280">
  <autoFilter ref="A16:J27" xr:uid="{D2E917CE-16AB-4F33-A77E-B1DD13D26228}"/>
  <sortState xmlns:xlrd2="http://schemas.microsoft.com/office/spreadsheetml/2017/richdata2" ref="A16:E17">
    <sortCondition ref="C5:C10"/>
  </sortState>
  <tableColumns count="10">
    <tableColumn id="1" xr3:uid="{6F0A2336-1FC9-4E56-A46B-B0AEAE5E437E}" name="Section" dataDxfId="279" dataCellStyle="Context_columns"/>
    <tableColumn id="2" xr3:uid="{56ED61B2-2E26-4E08-85F0-408192ED81D9}" name="Row" dataDxfId="278" dataCellStyle="Context_columns">
      <calculatedColumnFormula>ROW()</calculatedColumnFormula>
    </tableColumn>
    <tableColumn id="4" xr3:uid="{6E69121F-7818-412D-A2C3-ABC72DBF8ADC}" name="Category1" dataDxfId="277"/>
    <tableColumn id="5" xr3:uid="{7DDA7B5C-DD46-4036-BE8D-8C7A798ADF34}" name="Category2" dataDxfId="276"/>
    <tableColumn id="6" xr3:uid="{C866437E-567C-45A9-AA49-92BC6C15549D}" name="Actual for Current Disclosure Year (a)" dataDxfId="275" dataCellStyle="Formula"/>
    <tableColumn id="7" xr3:uid="{7BA53ECE-87BB-437A-B16C-3DE6AD70BA76}" name="Forecast for Current Disclosure Year* (b)" dataDxfId="274" dataCellStyle="Formula"/>
    <tableColumn id="8" xr3:uid="{E8001E4C-6D8F-4ACB-80AC-4968151F7BA5}" name="% Variance (a)/(b)-1" dataDxfId="273" dataCellStyle="Formula"/>
    <tableColumn id="9" xr3:uid="{663DD6B3-1F04-427B-AB97-0D804621C803}" name="Actual for Period to Date (c)" dataDxfId="272" dataCellStyle="Formula"/>
    <tableColumn id="10" xr3:uid="{B334416A-2B9B-4E41-A920-CCE6FDE617B7}" name="Forecast for Period to Date* (d)" dataDxfId="271" dataCellStyle="Formula"/>
    <tableColumn id="11" xr3:uid="{5D838FA7-CB46-46EA-834B-E9C82333FD78}" name="($000) | % Variance (c)/(d)-1" dataDxfId="270" dataCellStyle="Formula"/>
  </tableColumns>
  <tableStyleInfo name="cc_TableStyle"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B06DB5C2-E850-4A1F-B94C-EC4D62EDA2B0}" name="tb_s6_6b_1__forecast_exp" displayName="tb_s6_6b_1__forecast_exp" ref="A34:I41" totalsRowShown="0" dataDxfId="269">
  <autoFilter ref="A34:I41" xr:uid="{B06DB5C2-E850-4A1F-B94C-EC4D62EDA2B0}"/>
  <sortState xmlns:xlrd2="http://schemas.microsoft.com/office/spreadsheetml/2017/richdata2" ref="A35:E36">
    <sortCondition ref="C5:C10"/>
  </sortState>
  <tableColumns count="9">
    <tableColumn id="1" xr3:uid="{6174804F-B66D-49E6-8A78-8574565C600E}" name="Section" dataDxfId="268" dataCellStyle="Context_columns"/>
    <tableColumn id="2" xr3:uid="{8612C85A-394D-4D63-86AD-3560EC7D8061}" name="Row" dataDxfId="267" dataCellStyle="Context_columns">
      <calculatedColumnFormula>ROW()</calculatedColumnFormula>
    </tableColumn>
    <tableColumn id="4" xr3:uid="{06BD0306-23AB-47F4-89F4-E60F7ECE7820}" name="Category1" dataDxfId="266"/>
    <tableColumn id="5" xr3:uid="{81CF50DF-F64F-4D17-8344-EB862B738CAE}" name="Category2" dataDxfId="265"/>
    <tableColumn id="6" xr3:uid="{304796F6-D343-4675-A2B9-571902D4CFDB}" name="Pricing Period Starting Year" dataDxfId="264" dataCellStyle="Formula"/>
    <tableColumn id="7" xr3:uid="{F5E1907A-3471-49DF-9112-1B16EDD301E1}" name="Pricing Period Starting Year + 1" dataDxfId="263" dataCellStyle="Formula"/>
    <tableColumn id="8" xr3:uid="{13390131-34B4-44C1-AB4D-9FD3F2E9107F}" name="Pricing Period Starting Year + 2" dataDxfId="262" dataCellStyle="Formula"/>
    <tableColumn id="9" xr3:uid="{C3DE163A-FDC4-427A-8353-3129040C549A}" name="Pricing Period Starting Year + 3" dataDxfId="261" dataCellStyle="Formula"/>
    <tableColumn id="10" xr3:uid="{0521AEC1-C595-43ED-AE46-05E3F6C50521}" name="Pricing Period Starting Year + 4" dataDxfId="260" dataCellStyle="Formula"/>
  </tableColumns>
  <tableStyleInfo name="cc_TableStyle"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D6FB2AE8-2ACF-488D-B255-2378CC31A69B}" name="tb_s6_6c_1__actual_to_forecast_adjustment" displayName="tb_s6_6c_1__actual_to_forecast_adjustment" ref="A60:L70" totalsRowShown="0" dataDxfId="259">
  <autoFilter ref="A60:L70" xr:uid="{D6FB2AE8-2ACF-488D-B255-2378CC31A69B}"/>
  <sortState xmlns:xlrd2="http://schemas.microsoft.com/office/spreadsheetml/2017/richdata2" ref="A61:E62">
    <sortCondition ref="C5:C10"/>
  </sortState>
  <tableColumns count="12">
    <tableColumn id="1" xr3:uid="{BD7FFE46-4DF0-413A-8D7B-2DE92EA11A10}" name="Section" dataDxfId="258" dataCellStyle="Context_columns"/>
    <tableColumn id="2" xr3:uid="{011266D8-922F-4D03-859F-BDAF5CC3252A}" name="Row" dataDxfId="257" dataCellStyle="Context_columns">
      <calculatedColumnFormula>ROW()</calculatedColumnFormula>
    </tableColumn>
    <tableColumn id="4" xr3:uid="{AEBC7285-6FDA-431E-9190-1DB813264579}" name="Category1" dataDxfId="256" dataCellStyle="Data_Entry"/>
    <tableColumn id="5" xr3:uid="{94C75FFA-2A3A-48DD-8698-8DC89D221104}" name="Category2" dataDxfId="255" dataCellStyle="Data_Entry"/>
    <tableColumn id="6" xr3:uid="{82FCA0F3-B0D7-4774-9490-DF20ECF4A709}" name="Units used" dataDxfId="254" dataCellStyle="Formula"/>
    <tableColumn id="7" xr3:uid="{46E2559C-B740-41D7-B50D-8AA05744C489}" name="Actual for Current Disclosure Year (a)" dataDxfId="253" dataCellStyle="Formula"/>
    <tableColumn id="8" xr3:uid="{DA5CC0B6-0B3B-4639-86B1-5856D3BD1539}" name="Forecast for Current Disclosure Year* (b)" dataDxfId="252" dataCellStyle="Formula"/>
    <tableColumn id="9" xr3:uid="{AA8E6D91-2488-4E7D-96C2-72E42D2A011D}" name="% Variance (a)/(b)-1" dataDxfId="251" dataCellStyle="Formula"/>
    <tableColumn id="10" xr3:uid="{F8ADECC8-CC05-45F0-A94E-1933C85F70BF}" name="Actual for Period to Date (c)" dataDxfId="250" dataCellStyle="Formula"/>
    <tableColumn id="11" xr3:uid="{318159DB-4494-402B-865D-4F733B8F583F}" name="Forecast for Period to Date* (d)" dataDxfId="249" dataCellStyle="Formula"/>
    <tableColumn id="12" xr3:uid="{2D2629DF-2A98-465F-A80D-E99C6B6344E0}" name="% Variance (c)/(d)-1" dataDxfId="248" dataCellStyle="Formula"/>
    <tableColumn id="13" xr3:uid="{B8BDF6D1-3F69-493B-B0C8-0EF05DD567E4}" name="Estimated present value of the proposed risk allocation adjustment ($000)" dataDxfId="247" dataCellStyle="Data_Entry"/>
  </tableColumns>
  <tableStyleInfo name="cc_TableStyle"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C133AAD9-FA22-43A6-B4D9-0523873BC557}" name="tb_s6_6b_2__forecast_exp" displayName="tb_s6_6b_2__forecast_exp" ref="A44:I56" totalsRowShown="0" dataDxfId="246">
  <autoFilter ref="A44:I56" xr:uid="{C133AAD9-FA22-43A6-B4D9-0523873BC557}"/>
  <sortState xmlns:xlrd2="http://schemas.microsoft.com/office/spreadsheetml/2017/richdata2" ref="A45:E46">
    <sortCondition ref="C5:C10"/>
  </sortState>
  <tableColumns count="9">
    <tableColumn id="1" xr3:uid="{DBEC674A-8868-4A00-8E6F-964695B392A7}" name="Section" dataDxfId="245"/>
    <tableColumn id="2" xr3:uid="{2CE18ECB-0B87-45EA-95D8-3B8E2347F393}" name="Row" dataDxfId="244">
      <calculatedColumnFormula>ROW()</calculatedColumnFormula>
    </tableColumn>
    <tableColumn id="4" xr3:uid="{AE3030AD-BA22-462A-B646-E855E8EB8346}" name="Category1" dataDxfId="243"/>
    <tableColumn id="5" xr3:uid="{3039217B-54F9-4100-BD44-578218BE62A5}" name="Category2" dataDxfId="242"/>
    <tableColumn id="6" xr3:uid="{9B179E02-C7BE-4C44-B13D-1A2C5E31F735}" name="Pricing Period Starting Year" dataDxfId="241" dataCellStyle="Formula"/>
    <tableColumn id="7" xr3:uid="{BC6C08A2-404B-4E19-B4F1-5CD502171FE2}" name="Pricing Period Starting Year + 1" dataDxfId="240" dataCellStyle="Formula"/>
    <tableColumn id="8" xr3:uid="{62D1B279-D18F-4722-AF91-D918C2E110E8}" name="Pricing Period Starting Year + 2" dataDxfId="239" dataCellStyle="Formula"/>
    <tableColumn id="9" xr3:uid="{B18D17E5-D6A8-499A-A7F6-B76563E934C0}" name="Pricing Period Starting Year + 3" dataDxfId="238" dataCellStyle="Formula"/>
    <tableColumn id="10" xr3:uid="{313E5E9F-3959-4F71-B340-DDAEBA81E9EA}" name="Pricing Period Starting Year + 4" dataDxfId="237" dataCellStyle="Formula"/>
  </tableColumns>
  <tableStyleInfo name="cc_TableStyle"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14BCAE44-15C9-4771-9A22-3D422D5216F2}" name="tb_s7_7_1__report_on_segmented_info" displayName="tb_s7_7_1__report_on_segmented_info" ref="A4:G20" totalsRowShown="0" dataDxfId="236">
  <autoFilter ref="A4:G20" xr:uid="{14BCAE44-15C9-4771-9A22-3D422D5216F2}"/>
  <tableColumns count="7">
    <tableColumn id="1" xr3:uid="{903DDB69-2EF9-4FDD-BE28-9F30F05DDC6A}" name="Section" dataCellStyle="Context_columns"/>
    <tableColumn id="2" xr3:uid="{F9177629-EE65-40A2-BDCA-207C22234334}" name="Row" dataCellStyle="Context_columns">
      <calculatedColumnFormula>ROW()</calculatedColumnFormula>
    </tableColumn>
    <tableColumn id="4" xr3:uid="{F99FE32D-5E2D-490B-81D5-F2325BD34901}" name="Category1" dataDxfId="235"/>
    <tableColumn id="6" xr3:uid="{59E135AF-E2D8-4BFF-8C20-2772EFD2D3E1}" name="Specified Passenger Terminal Activities" dataDxfId="234" dataCellStyle="Formula"/>
    <tableColumn id="7" xr3:uid="{813444D4-E241-4164-90AE-B0C1700852EC}" name="Airfield Activities" dataDxfId="233" dataCellStyle="Formula"/>
    <tableColumn id="8" xr3:uid="{D51D4460-9C69-4B2A-801F-8A71F7068AD1}" name="Aircraft and Freight Activities " dataDxfId="232" dataCellStyle="Formula"/>
    <tableColumn id="9" xr3:uid="{54A6134E-8C3A-4B8F-B4E8-F7E4C8F945DB}" name=" Airport Business*|($000)" dataDxfId="231" dataCellStyle="Formula"/>
  </tableColumns>
  <tableStyleInfo name="cc_TableStyle"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D80C70DE-D827-453A-BC0D-25F780F41132}" name="tb_s8_8a_1__consolidation_statement" displayName="tb_s8_8a_1__consolidation_statement" ref="A5:H13" totalsRowShown="0" dataDxfId="230">
  <autoFilter ref="A5:H13" xr:uid="{D80C70DE-D827-453A-BC0D-25F780F41132}"/>
  <tableColumns count="8">
    <tableColumn id="1" xr3:uid="{A79DF977-EDC7-4A59-9120-4FD3D3AA0019}" name="Section" dataCellStyle="Context_columns"/>
    <tableColumn id="2" xr3:uid="{0C6888BF-BE9F-4A49-BE72-90180EA0B66E}" name="Row" dataCellStyle="Context_columns">
      <calculatedColumnFormula>ROW()</calculatedColumnFormula>
    </tableColumn>
    <tableColumn id="4" xr3:uid="{3266D41D-D035-4F6C-976B-50A01DFB8FF4}" name="Category1" dataCellStyle="Standard_category_row"/>
    <tableColumn id="6" xr3:uid="{0974BF20-7938-4C77-99F9-21DDB2F43FE3}" name="Airport Businesses" dataDxfId="229" dataCellStyle="Formula"/>
    <tableColumn id="7" xr3:uid="{60867E52-24C8-48A2-9C6A-036CE409B0D0}" name="Regulatory/_x000a_GAAP Adjustments" dataDxfId="228" dataCellStyle="Formula"/>
    <tableColumn id="8" xr3:uid="{762B26A1-493E-49E6-9B33-E76011A7B993}" name="Airport Business–_x000a_GAAP" dataDxfId="227" dataCellStyle="Formula"/>
    <tableColumn id="9" xr3:uid="{2E53A940-D091-48F9-9592-DC7002ECC2F5}" name="Unregulated Activities–_x000a_GAAP" dataDxfId="226" dataCellStyle="Formula"/>
    <tableColumn id="10" xr3:uid="{C0B08AE2-4796-4A36-A37C-8ED110DCF47B}" name="Airport Company–_x000a_GAAP | ($000)" dataDxfId="225" dataCellStyle="Formula"/>
  </tableColumns>
  <tableStyleInfo name="cc_TableStyle"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C27149F-6A75-4437-BB91-339095263209}" name="tb_s8_8bi_1__regulatory_gaap_adjustment" displayName="tb_s8_8bi_1__regulatory_gaap_adjustment" ref="A18:E25" totalsRowShown="0" dataDxfId="224">
  <autoFilter ref="A18:E25" xr:uid="{0C27149F-6A75-4437-BB91-339095263209}"/>
  <tableColumns count="5">
    <tableColumn id="1" xr3:uid="{DB514318-9B36-4E75-8293-14057FF61EBB}" name="Section" dataCellStyle="Context_columns"/>
    <tableColumn id="2" xr3:uid="{EA304CBD-4834-43DD-A47D-C582E5D14162}" name="Row" dataCellStyle="Context_columns">
      <calculatedColumnFormula>ROW()</calculatedColumnFormula>
    </tableColumn>
    <tableColumn id="4" xr3:uid="{197A1FB6-108D-4D01-A031-0A73C612308B}" name="Category1 | Description of Regulatory / GAAP Adjustment" dataDxfId="223" dataCellStyle="Comma"/>
    <tableColumn id="6" xr3:uid="{8B19E816-582B-40B1-863B-F63B9EBC54C1}" name="Affected Line Item" dataDxfId="222" dataCellStyle="Comma"/>
    <tableColumn id="7" xr3:uid="{2F7EA69E-D649-4016-AA08-CDC3D3827250}" name="Regulatory / GAAP Adjustments * | ($000)" dataDxfId="221" dataCellStyle="Comma"/>
  </tableColumns>
  <tableStyleInfo name="cc_TableStyle"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A204C20F-9F8D-47D0-8165-9F45DD53B4A8}" name="tb_s9_9a_1__asset_allocations" displayName="tb_s9_9a_1__asset_allocations" ref="A5:J20" totalsRowShown="0" dataDxfId="220">
  <autoFilter ref="A5:J20" xr:uid="{A204C20F-9F8D-47D0-8165-9F45DD53B4A8}"/>
  <tableColumns count="10">
    <tableColumn id="1" xr3:uid="{ADE1CEB5-1955-4390-BA0F-9887DB2B65B9}" name="Section" dataCellStyle="Context_columns"/>
    <tableColumn id="2" xr3:uid="{5A2B7ADD-12E0-4398-92D1-42D23943F776}" name="Row" dataCellStyle="Context_columns">
      <calculatedColumnFormula>ROW()</calculatedColumnFormula>
    </tableColumn>
    <tableColumn id="4" xr3:uid="{652BAA78-8433-402D-8085-7C2A17721C16}" name="Category1" dataDxfId="219"/>
    <tableColumn id="5" xr3:uid="{05B4E960-DE3B-4B70-8B47-193833D8F2FB}" name="Category2" dataDxfId="218"/>
    <tableColumn id="6" xr3:uid="{8D844DD4-CC91-4044-9659-D84D92AF41E3}" name="Specified Terminal Activities" dataDxfId="217" dataCellStyle="Formula"/>
    <tableColumn id="7" xr3:uid="{FDB59C34-CB84-43C2-BFE6-A967B83E8C10}" name="Airfield Activities" dataDxfId="216" dataCellStyle="Formula"/>
    <tableColumn id="8" xr3:uid="{3041E10F-D7BF-46E8-A9A1-D143BE9C0389}" name="Aircraft and Freight Activities " dataDxfId="215" dataCellStyle="Formula"/>
    <tableColumn id="9" xr3:uid="{AD782AFC-58FF-45F8-9770-902D0661DA7D}" name="Airport Business" dataDxfId="214" dataCellStyle="Formula"/>
    <tableColumn id="10" xr3:uid="{12B3F21A-CE09-442B-83D6-337E192189A5}" name="Unregulated Component" dataDxfId="213" dataCellStyle="Formula"/>
    <tableColumn id="11" xr3:uid="{4CDEF169-B47B-4654-BE3C-E0B03F7FD1D5}" name="Total ($000)" dataDxfId="212" dataCellStyle="Formula"/>
  </tableColumns>
  <tableStyleInfo name="cc_TableStyle"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1663DADF-3978-4A50-8A03-683FA91D4513}" name="tb_s9_9a_2_asset_allocations_asset_allocators" displayName="tb_s9_9a_2_asset_allocations_asset_allocators" ref="A23:G113" totalsRowShown="0" dataDxfId="211">
  <autoFilter ref="A23:G113" xr:uid="{1663DADF-3978-4A50-8A03-683FA91D4513}"/>
  <tableColumns count="7">
    <tableColumn id="1" xr3:uid="{119B97EB-EB9A-4E42-9CBF-361F8FBDBEE2}" name="Section" dataDxfId="210" dataCellStyle="Context_columns"/>
    <tableColumn id="2" xr3:uid="{54BD37A0-1149-4ED8-AF8B-711AB6FB124B}" name="Row" dataDxfId="209" dataCellStyle="Context_columns"/>
    <tableColumn id="4" xr3:uid="{D56BCEF9-F5DB-47B0-A200-76E51D6B794B}" name="Category1 | Asset Category" dataDxfId="208"/>
    <tableColumn id="6" xr3:uid="{DE1B084F-35D1-4A51-A2D6-7DB998E999D3}" name="Category2 | Allocator*" dataDxfId="207" dataCellStyle="Formula"/>
    <tableColumn id="7" xr3:uid="{B843A8A5-C978-405B-9AAA-9551DF04942D}" name=" Allocator Type" dataDxfId="206" dataCellStyle="Formula"/>
    <tableColumn id="8" xr3:uid="{0A21AF64-D7E3-45E3-B5B7-B66D8576BB4D}" name="Rationale" dataDxfId="205" dataCellStyle="Formula"/>
    <tableColumn id="9" xr3:uid="{9269DE87-CC8D-4CAF-8C94-309D8785FDEF}" name="Asset Line Items" dataDxfId="204" dataCellStyle="Formula"/>
  </tableColumns>
  <tableStyleInfo name="cc_TableStyle"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60200CB0-9AAA-4BCC-8AD5-968B922EAFC6}" name="tb_s9_9bi_1__changes_in_asset_allocators" displayName="tb_s9_9bi_1__changes_in_asset_allocators" ref="A118:H146" totalsRowShown="0" dataDxfId="203">
  <autoFilter ref="A118:H146" xr:uid="{60200CB0-9AAA-4BCC-8AD5-968B922EAFC6}"/>
  <tableColumns count="8">
    <tableColumn id="1" xr3:uid="{15BCE91A-1C2F-4F42-949F-2B2C84BCB310}" name="Section" dataCellStyle="Context_columns"/>
    <tableColumn id="2" xr3:uid="{D8DFFEE0-45C2-4E87-A733-5BE564252A63}" name="Row" dataCellStyle="Context_columns">
      <calculatedColumnFormula>ROW()</calculatedColumnFormula>
    </tableColumn>
    <tableColumn id="4" xr3:uid="{4A4E465D-4E5C-4123-A67C-D5D14E20ABFB}" name="Category1" dataCellStyle="Standard_category_row"/>
    <tableColumn id="5" xr3:uid="{C364320F-BC76-4D7B-BFAD-2D0CF1E0ECDD}" name="Category2" dataCellStyle="Standard_category_row"/>
    <tableColumn id="6" xr3:uid="{7434594D-7D66-46E9-93C4-26BE99FADFE2}" name="Text input" dataDxfId="202" dataCellStyle="Formula"/>
    <tableColumn id="7" xr3:uid="{20E60FBF-1E2B-4FC1-B826-CB5B88278A52}" name="Effect of Change ($000) | CY-1" dataDxfId="201" dataCellStyle="Formula"/>
    <tableColumn id="8" xr3:uid="{D7866371-6431-454B-8D8E-8BB5ED92E5FA}" name="Effect of Change ($000) | Current Year (CY)" dataDxfId="200" dataCellStyle="Formula"/>
    <tableColumn id="9" xr3:uid="{637DFCAB-168C-44B9-A7AA-34194AFBE75D}" name="Effect of Change ($000) | CY+1" dataDxfId="199" dataCellStyle="Formula"/>
  </tableColumns>
  <tableStyleInfo name="cc_TableStyle"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79520F88-B5DA-41B3-A599-FCB4143123FD}" name="tb_s10_10a_1__cost_allocations" displayName="tb_s10_10a_1__cost_allocations" ref="A5:J14" totalsRowShown="0" dataDxfId="198">
  <autoFilter ref="A5:J14" xr:uid="{79520F88-B5DA-41B3-A599-FCB4143123FD}"/>
  <tableColumns count="10">
    <tableColumn id="1" xr3:uid="{C0A5C631-0C79-4D9F-B32E-57D6CAD4AAC0}" name="Section" dataCellStyle="Context_columns"/>
    <tableColumn id="2" xr3:uid="{25351FC4-D96C-48A8-A8ED-427FEBD8D2F6}" name="Row" dataCellStyle="Context_columns">
      <calculatedColumnFormula>ROW()</calculatedColumnFormula>
    </tableColumn>
    <tableColumn id="4" xr3:uid="{C950ED63-8782-4B8D-8ACB-FBD59E522FA5}" name="Category1" dataDxfId="197"/>
    <tableColumn id="5" xr3:uid="{FD8B8FDD-978E-4419-BC18-17689A8758F9}" name="Category2" dataDxfId="196"/>
    <tableColumn id="6" xr3:uid="{9945183C-B04D-469B-8CB0-448D1F6D209D}" name="Specified Terminal Activities ($000)" dataDxfId="195" dataCellStyle="Formula"/>
    <tableColumn id="7" xr3:uid="{44DFF367-60F0-4BD1-8FA8-1276C4CF5E6E}" name="Airfield Activities ($000)" dataDxfId="194" dataCellStyle="Formula"/>
    <tableColumn id="8" xr3:uid="{580456BD-A353-4956-83F4-3551D9C00655}" name="Aircraft and Freight Activities ($000)" dataDxfId="193" dataCellStyle="Formula"/>
    <tableColumn id="9" xr3:uid="{C294F046-FCDA-429D-B467-D9EDBFD6BAA2}" name="Airport Business ($000)" dataDxfId="192" dataCellStyle="Formula"/>
    <tableColumn id="10" xr3:uid="{AB70FFA5-2E05-44F5-83EA-0E6AAF268A5E}" name="Unregulated Component ($000)" dataDxfId="191" dataCellStyle="Formula"/>
    <tableColumn id="11" xr3:uid="{C300B44F-D8C5-4911-9BB6-BF7A12DCCF5D}" name="Total ($000)" dataDxfId="190" dataCellStyle="Formula"/>
  </tableColumns>
  <tableStyleInfo name="cc_TableStyle"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ABBC07AB-F7ED-4E28-82A7-0C34085BC087}" name="tb_s10_10a_2__cost_allocations_cost_allocators" displayName="tb_s10_10a_2__cost_allocations_cost_allocators" ref="A17:G107" totalsRowShown="0" dataDxfId="189">
  <autoFilter ref="A17:G107" xr:uid="{ABBC07AB-F7ED-4E28-82A7-0C34085BC087}"/>
  <tableColumns count="7">
    <tableColumn id="1" xr3:uid="{796C1EB3-C58D-4EE2-AA68-AFD66C17FB0F}" name="Section" dataDxfId="188" dataCellStyle="Context_columns"/>
    <tableColumn id="2" xr3:uid="{6B19CD32-8F5A-47E2-9F9C-29B33F7C2CE0}" name="Row" dataDxfId="187" dataCellStyle="Context_columns"/>
    <tableColumn id="4" xr3:uid="{F4C1D3E5-1419-4945-AFE0-8E1D035A78B9}" name="Category1 | Operating Cost Category" dataDxfId="186"/>
    <tableColumn id="5" xr3:uid="{47326E88-5B48-448C-B530-EB8F89207FC8}" name="Category2 | Allocator*" dataDxfId="185"/>
    <tableColumn id="7" xr3:uid="{21FB04EA-FED3-48BA-BA04-328385462BFC}" name=" Allocator Type" dataDxfId="184" dataCellStyle="Formula"/>
    <tableColumn id="8" xr3:uid="{AD5C0BF4-D84C-4761-A8F9-4835CE258645}" name="Rationale" dataDxfId="183" dataCellStyle="Formula"/>
    <tableColumn id="9" xr3:uid="{B613BA1B-0DA3-490A-A994-D26F85D06179}" name="Operating Cost Line Items" dataDxfId="182" dataCellStyle="Formula"/>
  </tableColumns>
  <tableStyleInfo name="cc_TableStyle"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301EC56B-E2AD-46A7-AC19-3AD5E78B8037}" name="tb_s10_10bi_1__changes_in_cost_allocators" displayName="tb_s10_10bi_1__changes_in_cost_allocators" ref="A112:H140" totalsRowShown="0" dataDxfId="181">
  <autoFilter ref="A112:H140" xr:uid="{301EC56B-E2AD-46A7-AC19-3AD5E78B8037}"/>
  <tableColumns count="8">
    <tableColumn id="1" xr3:uid="{5C66AFF0-8319-4D44-93CC-DC34A0BC6467}" name="Section" dataDxfId="180" dataCellStyle="Context_columns"/>
    <tableColumn id="2" xr3:uid="{6FAC2C33-CCC0-4B7A-86F4-AD2DA8B425E9}" name="Row" dataDxfId="179" dataCellStyle="Context_columns">
      <calculatedColumnFormula>ROW()</calculatedColumnFormula>
    </tableColumn>
    <tableColumn id="4" xr3:uid="{884D8C9A-F555-4E6E-A10E-23E452F2D95D}" name="Category1" dataCellStyle="Standard_category_row"/>
    <tableColumn id="5" xr3:uid="{7E399297-8ADF-4A15-A685-42747EBCBEFF}" name="Category2" dataCellStyle="Standard_category_row"/>
    <tableColumn id="6" xr3:uid="{931F7B86-149B-4429-8E3F-0DA1119AD464}" name="Text input" dataDxfId="178" dataCellStyle="Formula"/>
    <tableColumn id="7" xr3:uid="{65F43BD7-2259-4A20-87EA-C2EF47AB2F4F}" name="Effect of Change ($000) | CY-1" dataDxfId="177" dataCellStyle="Formula"/>
    <tableColumn id="8" xr3:uid="{A1185C9F-FDE5-4532-84B4-C7815B0A24CE}" name="Effect of Change ($000) | Current Year (CY)" dataDxfId="176" dataCellStyle="Formula"/>
    <tableColumn id="9" xr3:uid="{A3FF6071-E914-4374-9547-6C394395037D}" name="Effect of Change ($000) | CY+1" dataDxfId="175" dataCellStyle="Formula"/>
  </tableColumns>
  <tableStyleInfo name="cc_TableStyle"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9B89215-46C0-462D-A23D-A096E5C84104}" name="tb_s11_11_1__reliability_measures" displayName="tb_s11_11_1__reliability_measures" ref="A5:G33" totalsRowShown="0" headerRowDxfId="174" dataDxfId="173">
  <autoFilter ref="A5:G33" xr:uid="{318227A9-7EA6-4DF8-9AB6-1A777F9CD6FE}"/>
  <tableColumns count="7">
    <tableColumn id="1" xr3:uid="{D615A35B-48A4-456D-90A6-AF26D27B70C8}" name="Section" dataCellStyle="Context_columns"/>
    <tableColumn id="2" xr3:uid="{6C6215BA-E236-492C-BC96-9D537CE221E0}" name="Row" dataCellStyle="Context_columns">
      <calculatedColumnFormula>ROW()</calculatedColumnFormula>
    </tableColumn>
    <tableColumn id="4" xr3:uid="{1093209D-2E27-43D8-9E15-0B5B90D92FCB}" name="Category1" dataCellStyle="Standard_category_row"/>
    <tableColumn id="5" xr3:uid="{BCEADEFC-E4E3-4993-AECE-BA80247308EE}" name="Category2" dataCellStyle="Standard_category_row"/>
    <tableColumn id="6" xr3:uid="{F11E7BA4-4826-4D74-BD1B-B808E85201E9}" name="Number of interruptions" dataDxfId="172"/>
    <tableColumn id="7" xr3:uid="{36FECE5B-58C0-470F-AD2F-C70964194763}" name="Total Duration|Hours interrupted" dataDxfId="171"/>
    <tableColumn id="8" xr3:uid="{328292D4-21C5-499E-B1F6-EC4A49F79523}" name="Total Duration | Minutes interrupted" dataDxfId="170"/>
  </tableColumns>
  <tableStyleInfo name="cc_TableStyle"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BAD7E452-FFFB-45FA-9640-186973C70D4C}" name="tb_s11_11_2__reliability_measures" displayName="tb_s11_11_2__reliability_measures" ref="A37:E38" totalsRowShown="0" headerRowDxfId="169" dataDxfId="168">
  <autoFilter ref="A37:E38" xr:uid="{FC7976E4-7800-4AD9-9DFC-CFEB73AF9FC9}"/>
  <tableColumns count="5">
    <tableColumn id="1" xr3:uid="{A59D8AB3-2A3D-4B89-89CB-EFB01194C9F2}" name="Section" dataCellStyle="Context_columns"/>
    <tableColumn id="2" xr3:uid="{2FE3F30D-BA65-4F06-8C4A-0A881C015B5D}" name="Row" dataCellStyle="Context_columns">
      <calculatedColumnFormula>ROW()</calculatedColumnFormula>
    </tableColumn>
    <tableColumn id="4" xr3:uid="{CEB1759A-9540-447C-B95A-D59702E17188}" name="Category1" dataCellStyle="Standard_category_row"/>
    <tableColumn id="5" xr3:uid="{6919F1D1-D4A5-418F-B195-43EABAE4C40A}" name="Category2" dataCellStyle="Standard_category_row"/>
    <tableColumn id="6" xr3:uid="{231A230F-4270-4F3A-8C1A-872B7DECC1F9}" name="Fixed electrical ground power availability (if applicable)" dataDxfId="167"/>
  </tableColumns>
  <tableStyleInfo name="cc_TableStyle"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89BF2BB-EBC1-419C-861B-AC952C995E67}" name="tb_s12_12_1__capacity_utilisation_indicators" displayName="tb_s12_12_1__capacity_utilisation_indicators" ref="A5:H13" totalsRowShown="0" headerRowDxfId="166" dataDxfId="165">
  <autoFilter ref="A5:H13" xr:uid="{834BE30D-E33B-49CB-8032-BB325C51F7C2}"/>
  <tableColumns count="8">
    <tableColumn id="1" xr3:uid="{D920DA65-DA71-4D32-BCC3-3E8B6932B102}" name="Section" dataCellStyle="Context_columns"/>
    <tableColumn id="2" xr3:uid="{00CCE74B-340B-44B0-81FD-555DBC10767C}" name="Row" dataCellStyle="Context_columns">
      <calculatedColumnFormula>ROW()</calculatedColumnFormula>
    </tableColumn>
    <tableColumn id="4" xr3:uid="{5AEBA84B-D2EF-4CE5-8B6C-DF3C16DB3475}" name="Category1" dataCellStyle="Standard_category_row"/>
    <tableColumn id="9" xr3:uid="{E14F55CE-FFC7-4CCA-98D2-A0D6AB247EBF}" name="Category2" dataCellStyle="Standard_category_row"/>
    <tableColumn id="5" xr3:uid="{FAC902FD-A023-4D4C-909D-882B78C6FA64}" name="Category3" dataCellStyle="Standard_category_row"/>
    <tableColumn id="6" xr3:uid="{C6215D35-1D9A-4B2A-88D6-DF69273AB452}" name="Runway #1" dataDxfId="164" dataCellStyle="Data_Entry"/>
    <tableColumn id="7" xr3:uid="{11CD02DF-C914-4841-8C56-DE8744B74910}" name="Runway #2" dataDxfId="163" dataCellStyle="Data_Entry"/>
    <tableColumn id="8" xr3:uid="{8A66B22C-A2AB-46C7-9E09-31941F8A8A6D}" name="Runway #3" dataDxfId="162" dataCellStyle="Data_Entry"/>
  </tableColumns>
  <tableStyleInfo name="cc_TableStyle"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D0280EBF-8E9D-4C14-8624-01A5B3330870}" name="tb_s12_12_2__capacity_utilisation_indicators" displayName="tb_s12_12_2__capacity_utilisation_indicators" ref="A17:H22" totalsRowShown="0" headerRowDxfId="161" dataDxfId="159" headerRowBorderDxfId="160" tableBorderDxfId="158" totalsRowBorderDxfId="157">
  <autoFilter ref="A17:H22" xr:uid="{56A57EF5-75E7-4376-966C-BC06E5DBFD6B}"/>
  <tableColumns count="8">
    <tableColumn id="1" xr3:uid="{90C1AC0C-E592-44EC-811B-1B7DE939753F}" name="Section" dataDxfId="156" dataCellStyle="Context_columns"/>
    <tableColumn id="2" xr3:uid="{A7F8290E-FA09-478F-8037-618FA40386CD}" name="Row" dataDxfId="155" dataCellStyle="Context_columns">
      <calculatedColumnFormula>ROW()</calculatedColumnFormula>
    </tableColumn>
    <tableColumn id="4" xr3:uid="{EBD4D5C4-C9F2-4DEF-87E8-B1D73ABA8586}" name="Category1" dataCellStyle="Standard_category_row"/>
    <tableColumn id="5" xr3:uid="{86FCA67E-9C2C-4AE6-9B73-679CB3E76111}" name="Category2" dataCellStyle="Standard_category_row"/>
    <tableColumn id="6" xr3:uid="{9B6970E7-6187-4F6C-945C-86D135F0AA42}" name="Category3" dataCellStyle="Standard_category_row"/>
    <tableColumn id="7" xr3:uid="{27965593-6E75-4D1B-81E6-498FCA98B723}" name="Taxiway #1" dataDxfId="154" dataCellStyle="Data_Entry"/>
    <tableColumn id="8" xr3:uid="{500FC2FA-33E2-49E9-BCC0-55CB6B75533F}" name="Taxiway #2" dataDxfId="153" dataCellStyle="Data_Entry"/>
    <tableColumn id="9" xr3:uid="{2475E045-871D-4501-B6AB-F7E8CD6FB118}" name="Taxiway #3" dataDxfId="152" dataCellStyle="Data_Entry"/>
  </tableColumns>
  <tableStyleInfo name="TableStyleMedium2"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E351D1EC-1EAE-40DA-9857-CB8904E7545A}" name="tb_s12_12_3__capacity_utilisation_indicators" displayName="tb_s12_12_3__capacity_utilisation_indicators" ref="A26:H30" totalsRowShown="0" headerRowDxfId="151" dataDxfId="149" headerRowBorderDxfId="150" tableBorderDxfId="148" totalsRowBorderDxfId="147">
  <autoFilter ref="A26:H30" xr:uid="{906CDA31-97DA-4D71-9DE1-3AFB823C9C76}"/>
  <tableColumns count="8">
    <tableColumn id="1" xr3:uid="{9C186010-8CF0-4DB8-AD6D-CC70C354EEE7}" name="Section" dataDxfId="146" dataCellStyle="Context_columns"/>
    <tableColumn id="2" xr3:uid="{3EF14EEF-CDAA-4B32-8FAF-29B49A5E61D6}" name="Row" dataDxfId="145" dataCellStyle="Context_columns">
      <calculatedColumnFormula>ROW()</calculatedColumnFormula>
    </tableColumn>
    <tableColumn id="4" xr3:uid="{A6A3BCCC-B154-4C8B-9017-C2090ED8584A}" name="Category1" dataDxfId="144"/>
    <tableColumn id="5" xr3:uid="{8EF8C12E-13A6-4C3E-A83F-D8B32C559582}" name="Category2" dataDxfId="143"/>
    <tableColumn id="9" xr3:uid="{32A839CA-54AC-411A-87FA-4116CE06477F}" name="Category3" dataDxfId="142"/>
    <tableColumn id="6" xr3:uid="{7F3FC0A4-CA69-483D-855E-AE6586A124C9}" name="Contact stand–airbridge" dataDxfId="141"/>
    <tableColumn id="7" xr3:uid="{35E848D8-684D-440B-9CB4-F1CB1DC07B9E}" name="Contact stand–walking" dataDxfId="140"/>
    <tableColumn id="8" xr3:uid="{5823FAD8-A57C-451E-A40C-45A6A5549009}" name="Remote stand–bus" dataDxfId="139"/>
  </tableColumns>
  <tableStyleInfo name="TableStyleMedium2"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10B180E3-D654-4187-A3F0-C99E3E149F44}" name="tb_s12_12_4__capacity_utilisation_indicators" displayName="tb_s12_12_4__capacity_utilisation_indicators" ref="A34:E36" totalsRowShown="0" headerRowDxfId="138" dataDxfId="136" headerRowBorderDxfId="137" tableBorderDxfId="135" totalsRowBorderDxfId="134">
  <autoFilter ref="A34:E36" xr:uid="{482C3276-6575-4388-84F6-BF4853550A85}"/>
  <tableColumns count="5">
    <tableColumn id="1" xr3:uid="{AD634B39-8C2C-4F65-86D9-B21EEC930BC9}" name="Section" dataDxfId="133" dataCellStyle="Context_columns"/>
    <tableColumn id="2" xr3:uid="{05F40F65-695E-4C5F-A8FD-1B30330EBEB1}" name="Row" dataDxfId="132" dataCellStyle="Context_columns">
      <calculatedColumnFormula>ROW()</calculatedColumnFormula>
    </tableColumn>
    <tableColumn id="4" xr3:uid="{7ADC8011-B801-45CF-9555-F5840F83D867}" name="Category1" dataCellStyle="Standard_category_row"/>
    <tableColumn id="5" xr3:uid="{CE481849-151B-476B-989E-95A0B4CE169C}" name="Category2" dataCellStyle="Standard_category_row"/>
    <tableColumn id="6" xr3:uid="{68ED9CBB-1605-451A-9A9C-7514622FBC58}" name="Date" dataDxfId="131" dataCellStyle="Data_Entry"/>
  </tableColumns>
  <tableStyleInfo name="TableStyleMedium2"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F7A6A20E-6474-4819-BA7B-5C687118A903}" name="tb_s12_12_5__capacity_utilisation_indicators" displayName="tb_s12_12_5__capacity_utilisation_indicators" ref="A40:H46" totalsRowShown="0" headerRowDxfId="130" dataDxfId="128" headerRowBorderDxfId="129" tableBorderDxfId="127" totalsRowBorderDxfId="126">
  <autoFilter ref="A40:H46" xr:uid="{67F45615-CF78-4434-B983-5A41B12E6525}"/>
  <tableColumns count="8">
    <tableColumn id="1" xr3:uid="{2614EE32-CD4E-4AFD-8CC0-713C0EFE675D}" name="Section" dataDxfId="125" dataCellStyle="Context_columns"/>
    <tableColumn id="2" xr3:uid="{8C305ABC-FBC0-446D-9D2E-0FED4C604AC1}" name="Row" dataDxfId="124" dataCellStyle="Context_columns">
      <calculatedColumnFormula>ROW()</calculatedColumnFormula>
    </tableColumn>
    <tableColumn id="4" xr3:uid="{C8F6B4B1-E640-4817-9508-CCECC677094E}" name="Category1" dataDxfId="123"/>
    <tableColumn id="5" xr3:uid="{5246FBFD-2FC5-4BAA-AD4C-D23C6FD160AC}" name="Category2" dataDxfId="122"/>
    <tableColumn id="6" xr3:uid="{5F2CA4A7-9C68-4D03-B6F0-579389612BAA}" name="Contact stand - airbridge" dataDxfId="121"/>
    <tableColumn id="9" xr3:uid="{45DDA7FA-B364-4B55-993B-8DFDD4392F6E}" name="Contact stand - walking" dataDxfId="120"/>
    <tableColumn id="10" xr3:uid="{749A9324-F57F-405A-BA8D-9C841C8EDC41}" name="Remote stand - bus" dataDxfId="119"/>
    <tableColumn id="11" xr3:uid="{EB43744A-43D3-4FFA-A30C-6A224D4C1D02}" name="Total " dataDxfId="118"/>
  </tableColumns>
  <tableStyleInfo name="TableStyleMedium2"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7F854112-B40C-429D-B336-450F3EAF3E2D}" name="tb_s12_12_6__capacity_utilisation_indicators" displayName="tb_s12_12_6__capacity_utilisation_indicators" ref="A50:E51" totalsRowShown="0" headerRowDxfId="117" dataDxfId="115" headerRowBorderDxfId="116" tableBorderDxfId="114" totalsRowBorderDxfId="113">
  <autoFilter ref="A50:E51" xr:uid="{7F854112-B40C-429D-B336-450F3EAF3E2D}"/>
  <tableColumns count="5">
    <tableColumn id="1" xr3:uid="{F4A279D5-A6D6-4992-88A5-CA80149DC290}" name="Section" dataDxfId="112" dataCellStyle="Context_columns"/>
    <tableColumn id="2" xr3:uid="{7585171D-B6F5-4046-9623-A1F77C06090F}" name="Row" dataDxfId="111" dataCellStyle="Context_columns">
      <calculatedColumnFormula>ROW()</calculatedColumnFormula>
    </tableColumn>
    <tableColumn id="4" xr3:uid="{9B8F0CBC-F289-476E-AD5A-824B125FD9A7}" name="Category1" dataCellStyle="Standard_category_row"/>
    <tableColumn id="5" xr3:uid="{0F5FD2E4-C41A-45E0-AB9D-3DF83C30965D}" name="Category2" dataCellStyle="Standard_category_row"/>
    <tableColumn id="6" xr3:uid="{D2AA5D7D-6DB8-4E5A-8D8D-161B50AD4742}" name="Aircraft runway movement" dataDxfId="110" dataCellStyle="Data_Entry"/>
  </tableColumns>
  <tableStyleInfo name="TableStyleMedium2"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DC8AFEAF-FCA5-481E-8E39-8D66293FD65A}" name="tb_s13_13_1__terminal_capacity_utilisation_indicators" displayName="tb_s13_13_1__terminal_capacity_utilisation_indicators" ref="A5:H49" totalsRowShown="0" headerRowDxfId="109" dataDxfId="108">
  <autoFilter ref="A5:H49" xr:uid="{846D3691-473B-4852-AF63-AA42E8B22068}"/>
  <tableColumns count="8">
    <tableColumn id="1" xr3:uid="{E1F25C83-B104-431F-87C1-120F5D09F374}" name="Section" dataCellStyle="Context_columns"/>
    <tableColumn id="2" xr3:uid="{0913DB5E-6463-4257-9C01-F49D69605B38}" name="Row" dataCellStyle="Context_columns">
      <calculatedColumnFormula>ROW()</calculatedColumnFormula>
    </tableColumn>
    <tableColumn id="9" xr3:uid="{ED5782AA-04D7-48B9-A5BF-E5E91B40F9DA}" name="Category2" dataCellStyle="Standard_category_row"/>
    <tableColumn id="5" xr3:uid="{A5DC824C-4A1A-4E21-B54C-BFA6E219F506}" name="Category3" dataCellStyle="Standard_category_row"/>
    <tableColumn id="10" xr3:uid="{14EC2E73-EF38-44FA-A3C9-50AC277C2244}" name="Category4" dataCellStyle="Standard_category_row"/>
    <tableColumn id="6" xr3:uid="{75149790-1865-4E9B-9C3D-9FCABAC0D945}" name="International terminal " dataDxfId="107"/>
    <tableColumn id="7" xr3:uid="{C6EC2D1B-9746-409D-A4FB-6C5159F4FF5E}" name="Domestic terminal " dataDxfId="106"/>
    <tableColumn id="8" xr3:uid="{881E3CEC-5E91-448B-B0FA-BF64FB0626E3}" name="Common area †" dataDxfId="105"/>
  </tableColumns>
  <tableStyleInfo name="cc_TableStyle"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49BFEAB7-E7D4-4F97-8ADA-6AE0605A58C0}" name="tb_s13_13_2__terminal_capacity_utilisation_indicators" displayName="tb_s13_13_2__terminal_capacity_utilisation_indicators" ref="A54:H89" totalsRowShown="0" headerRowDxfId="104" dataDxfId="103">
  <autoFilter ref="A54:H89" xr:uid="{DB3ECDCA-2F57-40C0-A819-B9FA32AE4565}"/>
  <tableColumns count="8">
    <tableColumn id="1" xr3:uid="{C7FAA6F2-81C4-4C2D-AECA-5B429EF408B8}" name="Section" dataCellStyle="Context_columns"/>
    <tableColumn id="2" xr3:uid="{4C32664C-0EA4-42E6-9513-5313EC8EC19B}" name="Row" dataCellStyle="Context_columns">
      <calculatedColumnFormula>ROW()</calculatedColumnFormula>
    </tableColumn>
    <tableColumn id="9" xr3:uid="{318825DF-5050-49AD-BFDA-A72649002F04}" name="Category2" dataCellStyle="Standard_category_row"/>
    <tableColumn id="5" xr3:uid="{E58C0D4C-33FB-453A-9013-D1DC12C83541}" name="Category3" dataCellStyle="Standard_category_row"/>
    <tableColumn id="3" xr3:uid="{913082CA-FBF2-42E2-9330-500371EEA5EF}" name="Category4" dataCellStyle="Standard_category_row"/>
    <tableColumn id="6" xr3:uid="{2EF89A42-B9AF-4027-87E7-F77CF402DFDC}" name="International terminal " dataDxfId="102"/>
    <tableColumn id="7" xr3:uid="{D2DBB39B-3776-4754-A2D8-D57B1FF4E9F6}" name="Domestic terminal " dataDxfId="101"/>
    <tableColumn id="8" xr3:uid="{092C4DD8-EDD3-4360-895F-976BC6DA9C6F}" name="Common area †" dataDxfId="100"/>
  </tableColumns>
  <tableStyleInfo name="cc_TableStyle"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F25A940D-93E9-4193-A3D3-AD2299F3C0F4}" name="tb_s14_14_2__passenger_survey_results" displayName="tb_s14_14_2__passenger_survey_results" ref="A11:I42" totalsRowShown="0" headerRowDxfId="99" dataDxfId="98">
  <autoFilter ref="A11:I42" xr:uid="{E674C70A-31DB-4B12-AD85-8C529F816FD1}"/>
  <tableColumns count="9">
    <tableColumn id="1" xr3:uid="{04875953-7655-4B32-867E-E9D63A87650D}" name="Section" dataCellStyle="Context_columns"/>
    <tableColumn id="2" xr3:uid="{636F4D73-A810-4898-BE3A-48713B7DD2FA}" name="Row" dataCellStyle="Context_columns">
      <calculatedColumnFormula>ROW()</calculatedColumnFormula>
    </tableColumn>
    <tableColumn id="4" xr3:uid="{07404949-564E-42AA-BC6F-3B68F69DF8D6}" name="Category1|Passenger satisfaction survey score_x000a_(average quarterly rating by service item)_x000a_" dataCellStyle="Standard_category_row"/>
    <tableColumn id="9" xr3:uid="{DB4C3EA0-45F5-406B-940F-C04DA6E7E1A4}" name="Category2" dataCellStyle="Standard_category_row"/>
    <tableColumn id="6" xr3:uid="{D71621C5-C907-44FD-82EA-31EC477523D0}" name="Quarter 1 of the Current DY" dataDxfId="97"/>
    <tableColumn id="7" xr3:uid="{78DB1E2D-129C-4F57-9C80-564A555048CA}" name="Quarter 2 of the Current DY" dataDxfId="96"/>
    <tableColumn id="8" xr3:uid="{F65F73DF-7CC0-4E24-B231-1FCED8E4A5B0}" name="Quarter 3 of the Current DY" dataDxfId="95"/>
    <tableColumn id="10" xr3:uid="{17D989C1-971B-487F-95AC-0B8C91D75FC7}" name="Quarter 4 of the Current DY" dataDxfId="94"/>
    <tableColumn id="11" xr3:uid="{E67740E1-EBD1-4A60-BF03-542466EAC617}" name="Annual average " dataDxfId="93"/>
  </tableColumns>
  <tableStyleInfo name="cc_TableStyle"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54C26960-3C7E-412D-A62B-DB323A166334}" name="tb_s14_14_1__passenger_survey_results" displayName="tb_s14_14_1__passenger_survey_results" ref="A5:E7" totalsRowShown="0" headerRowDxfId="92" dataDxfId="91">
  <autoFilter ref="A5:E7" xr:uid="{15609B65-BA20-4888-863D-EC72E7879242}"/>
  <tableColumns count="5">
    <tableColumn id="1" xr3:uid="{00B97F05-58A5-4CB5-8C4E-744D8FA56969}" name="Section" dataCellStyle="Context_columns"/>
    <tableColumn id="2" xr3:uid="{8F983110-AD8A-483A-86FB-D6BEE959E984}" name="Row" dataCellStyle="Context_columns">
      <calculatedColumnFormula>ROW()</calculatedColumnFormula>
    </tableColumn>
    <tableColumn id="4" xr3:uid="{63B5C060-62A5-4953-A3BC-A629342B40CE}" name="Category1" dataCellStyle="Standard_category_row"/>
    <tableColumn id="9" xr3:uid="{1B208B57-686E-4B1B-BC72-382B23BF2CF2}" name="Category2" dataCellStyle="Standard_category_row"/>
    <tableColumn id="7" xr3:uid="{4E9EA9D9-366F-47D0-B9E8-2EBC4604E1CA}" name="Survey" dataDxfId="90" dataCellStyle="Data_Entry"/>
  </tableColumns>
  <tableStyleInfo name="cc_TableStyle"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E14A0B6C-1EC1-4CA0-9F4C-6F9FCEBFA1BB}" name="tb_s16_16a_1__aircraft_statistics" displayName="tb_s16_16a_1__aircraft_statistics" ref="A5:F48" totalsRowShown="0" headerRowDxfId="89" dataDxfId="88">
  <autoFilter ref="A5:F48" xr:uid="{50CE9F94-DA96-46C6-8630-6DFBE55BCAE6}"/>
  <tableColumns count="6">
    <tableColumn id="1" xr3:uid="{612C43F1-8721-4553-86C1-C4563FFEC7EA}" name="Section" dataCellStyle="Context_columns"/>
    <tableColumn id="2" xr3:uid="{B63A5F5B-177D-4B07-8C7E-A3EFE43DDE49}" name="Row" dataCellStyle="Context_columns">
      <calculatedColumnFormula>ROW()</calculatedColumnFormula>
    </tableColumn>
    <tableColumn id="9" xr3:uid="{81D5D091-1294-4EF0-BFC4-D9499F131515}" name="Category1" dataDxfId="87"/>
    <tableColumn id="6" xr3:uid="{6EB758BA-9866-4689-B2AA-639FBCD45AA3}" name="Category2|_x000a_Aircraft type" dataDxfId="86"/>
    <tableColumn id="7" xr3:uid="{6EBAB829-AFFB-4B3C-99F6-42A5D027AE7F}" name="Total number of landings" dataDxfId="85"/>
    <tableColumn id="8" xr3:uid="{7040DD54-DA0B-480D-9725-82261FA1FB02}" name="Total  MCTOW_x000a_(tonnes)" dataDxfId="84"/>
  </tableColumns>
  <tableStyleInfo name="cc_TableStyle"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9CCB7A49-01C9-4743-8659-E7F76ED95B21}" name="tb_s16_16b_1__terminal_access" displayName="tb_s16_16b_1__terminal_access" ref="A116:G118" totalsRowShown="0" headerRowDxfId="83" dataDxfId="82">
  <autoFilter ref="A116:G118" xr:uid="{335207A9-D29E-4266-9640-2661D14B4BE9}"/>
  <tableColumns count="7">
    <tableColumn id="1" xr3:uid="{6BD91CE7-813F-4D3F-9388-3D2D4B2E1043}" name="Section" dataDxfId="81" dataCellStyle="Context_columns"/>
    <tableColumn id="2" xr3:uid="{5C9E76B2-BD81-4AEA-8B8C-8DA390A7355C}" name="Row" dataDxfId="80" dataCellStyle="Context_columns">
      <calculatedColumnFormula>ROW()</calculatedColumnFormula>
    </tableColumn>
    <tableColumn id="4" xr3:uid="{5D76E312-852F-4F99-B4C8-2AE63A1EDFE8}" name="Category1" dataDxfId="79" dataCellStyle="Standard_category_row"/>
    <tableColumn id="7" xr3:uid="{4DDC6AE4-7434-4869-9426-194A17DA3F3E}" name="Contact _x000a_stand-airbridge" dataDxfId="78" dataCellStyle="Data_Entry"/>
    <tableColumn id="8" xr3:uid="{AA021156-D5F7-4E13-BAEE-9C49E3CA7834}" name="Contact_x000a_stand-walking" dataDxfId="77" dataCellStyle="Data_Entry"/>
    <tableColumn id="12" xr3:uid="{071E13DC-A72C-4537-9D17-9AA0CE36CD05}" name="Remote_x000a_stand-bus" dataDxfId="76" dataCellStyle="Data_Entry"/>
    <tableColumn id="13" xr3:uid="{E4B35DB1-D1EA-4DA0-813D-A2086FF46457}" name="Total " dataDxfId="75" dataCellStyle="Formula">
      <calculatedColumnFormula>D117+E117+F117</calculatedColumnFormula>
    </tableColumn>
  </tableColumns>
  <tableStyleInfo name="cc_TableStyle"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CCDA2695-FE2F-433E-A827-C30CAC2B6E54}" name="tb_s16_16a_2__aircraft_statistics" displayName="tb_s16_16a_2__aircraft_statistics" ref="A52:F75" totalsRowShown="0" headerRowDxfId="74" dataDxfId="73">
  <autoFilter ref="A52:F75" xr:uid="{440E1ED7-F6F0-4AF9-A2D4-22E599C04BE9}"/>
  <tableColumns count="6">
    <tableColumn id="1" xr3:uid="{8DAF57D1-6AC2-448D-A0A9-8BB09DBAF267}" name="Section" dataCellStyle="Context_columns"/>
    <tableColumn id="2" xr3:uid="{729A07B8-A88E-416E-BA57-3466D23386D2}" name="Row" dataCellStyle="Context_columns">
      <calculatedColumnFormula>ROW()</calculatedColumnFormula>
    </tableColumn>
    <tableColumn id="9" xr3:uid="{001A4A71-EDD0-4FCF-8A98-03E96DC790AF}" name="Category1" dataDxfId="72"/>
    <tableColumn id="5" xr3:uid="{FF322DCB-C81E-4EC7-851A-A38ED7B8D89E}" name="Category2|_x000a_Aircraft type" dataDxfId="71"/>
    <tableColumn id="7" xr3:uid="{A69F39ED-B8E0-43BE-B3B2-1C4ADDE11BFD}" name="Total number of landings" dataDxfId="70"/>
    <tableColumn id="8" xr3:uid="{A94478B7-1626-4633-A8CB-E0A8C1BC53EE}" name="Total  MCTOW_x000a_(tonnes)" dataDxfId="69" dataCellStyle="Formula"/>
  </tableColumns>
  <tableStyleInfo name="cc_TableStyle"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5EBF2591-98F7-43BB-831A-EED8D82ED123}" name="tb_s16_16a_3__aircraft_statistics" displayName="tb_s16_16a_3__aircraft_statistics" ref="A79:F98" totalsRowShown="0" headerRowDxfId="68" dataDxfId="67">
  <autoFilter ref="A79:F98" xr:uid="{23E1F5EB-A956-4A33-B391-8B5D6004AB1A}"/>
  <tableColumns count="6">
    <tableColumn id="1" xr3:uid="{D548F0F0-5B72-4008-BB71-F640C4461824}" name="Section" dataCellStyle="Context_columns"/>
    <tableColumn id="2" xr3:uid="{55C52F3D-3328-46BC-A8C0-40B39A1632CA}" name="Row" dataCellStyle="Context_columns">
      <calculatedColumnFormula>ROW()</calculatedColumnFormula>
    </tableColumn>
    <tableColumn id="9" xr3:uid="{0364D838-F5BF-4D42-8C2E-B7D5D373F727}" name="Category1" dataDxfId="66"/>
    <tableColumn id="5" xr3:uid="{68476FF1-D0C9-4A44-8943-5BA4B6A66349}" name="Category2|_x000a_Aircraft type" dataDxfId="65"/>
    <tableColumn id="7" xr3:uid="{4E2C463D-0A75-4795-8406-FA1BF96C94AD}" name="Total number of landings" dataDxfId="64"/>
    <tableColumn id="8" xr3:uid="{38994392-7D44-4699-8801-BECB184B78E9}" name="Total  MCTOW_x000a_(tonnes)" dataDxfId="63"/>
  </tableColumns>
  <tableStyleInfo name="cc_TableStyle"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7610B504-4C25-41BB-A9DA-A77604790CCC}" name="tb_s16_16a_4__aircraft_statistics" displayName="tb_s16_16a_4__aircraft_statistics" ref="A102:E106" totalsRowShown="0" headerRowDxfId="62" dataDxfId="61">
  <autoFilter ref="A102:E106" xr:uid="{02A794A6-C40B-4630-8B53-9BD22DA02B56}"/>
  <tableColumns count="5">
    <tableColumn id="1" xr3:uid="{331F780C-B4CF-4672-87D8-56E5695B4380}" name="Section" dataDxfId="60" dataCellStyle="Context_columns"/>
    <tableColumn id="2" xr3:uid="{CA9705B8-F4CA-4674-95FD-E49D9F8C8AC1}" name="Row" dataDxfId="59" dataCellStyle="Context_columns">
      <calculatedColumnFormula>ROW()</calculatedColumnFormula>
    </tableColumn>
    <tableColumn id="4" xr3:uid="{B756E4E9-F2D9-40F8-8ADC-9EA98CD1B82E}" name="Category1" dataDxfId="58" dataCellStyle="Standard_category_row"/>
    <tableColumn id="7" xr3:uid="{3ACFDBA8-EBBF-445F-B6DE-A5D953ABC780}" name="Total number of landings" dataDxfId="57"/>
    <tableColumn id="8" xr3:uid="{FB18D077-3C76-4DDF-8747-9864E918C1DF}" name="Total  MCTOW (tonnes)" dataDxfId="56"/>
  </tableColumns>
  <tableStyleInfo name="cc_TableStyle"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912E3A25-5CB3-41D5-B3D7-269459BDF00B}" name="tb_s16_16c_1__passenger_statistics" displayName="tb_s16_16c_1__passenger_statistics" ref="A123:F128" totalsRowShown="0" headerRowDxfId="55" dataDxfId="54">
  <autoFilter ref="A123:F128" xr:uid="{B398F0A3-9094-46B7-976A-9410AA28DC21}"/>
  <tableColumns count="6">
    <tableColumn id="1" xr3:uid="{6A784122-CFEA-4938-AE7F-174CA33D6D2C}" name="Section" dataDxfId="53" dataCellStyle="Context_columns"/>
    <tableColumn id="2" xr3:uid="{62E47BE1-87D5-42EB-BEE9-17A3E970801E}" name="Row" dataDxfId="52" dataCellStyle="Context_columns">
      <calculatedColumnFormula>ROW()</calculatedColumnFormula>
    </tableColumn>
    <tableColumn id="4" xr3:uid="{AC6ED74D-320E-4224-B0BD-7A8CFD4420E8}" name="Category1" dataCellStyle="Standard_category_row"/>
    <tableColumn id="7" xr3:uid="{5C79F682-2212-4A62-B04D-EB25A41CC885}" name="Domestic" dataDxfId="51"/>
    <tableColumn id="8" xr3:uid="{853E72C5-481E-464E-A648-3BE73513FFA1}" name="International" dataDxfId="50"/>
    <tableColumn id="12" xr3:uid="{77C6DF64-BCAD-467D-981C-F8E6C21A548C}" name="Total " dataDxfId="49"/>
  </tableColumns>
  <tableStyleInfo name="cc_TableStyle"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F17A4D2C-E77D-4744-ABA3-7737122CEED3}" name="tb_s16_16d_1__airline_statistics" displayName="tb_s16_16d_1__airline_statistics" ref="A132:E141" totalsRowShown="0" headerRowDxfId="48" dataDxfId="47">
  <autoFilter ref="A132:E141" xr:uid="{3E75436F-B040-441B-B2E2-32F3615D133A}"/>
  <tableColumns count="5">
    <tableColumn id="1" xr3:uid="{EA0AFD2F-5F2E-42C7-B720-A4BA15196213}" name="Section" dataDxfId="46" dataCellStyle="Context_columns"/>
    <tableColumn id="2" xr3:uid="{9D3DE822-9E1E-489C-8126-2F8461C89C9B}" name="Row" dataDxfId="45" dataCellStyle="Context_columns">
      <calculatedColumnFormula>ROW()</calculatedColumnFormula>
    </tableColumn>
    <tableColumn id="4" xr3:uid="{78F37085-AEA5-435A-A117-382A50D362E8}" name="Category1" dataDxfId="44" dataCellStyle="Standard_category_row"/>
    <tableColumn id="7" xr3:uid="{43B84C08-439F-4543-BC7A-09ADA89029B4}" name="Domestic" dataDxfId="43" dataCellStyle="Data_Entry"/>
    <tableColumn id="8" xr3:uid="{53F89E9A-F380-4154-B61C-19FC304112C6}" name="International" dataDxfId="42" dataCellStyle="Data_Entry"/>
  </tableColumns>
  <tableStyleInfo name="cc_TableStyle"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3AE3509C-C1F5-4DC2-8E02-FFE283FEDF6C}" name="tb_s16_16e_1__human_resource_statistics" displayName="tb_s16_16e_1__human_resource_statistics" ref="A145:G146" totalsRowShown="0" headerRowDxfId="41" dataDxfId="40">
  <autoFilter ref="A145:G146" xr:uid="{95695776-90DD-4B49-B6C8-EF427911F6F9}"/>
  <tableColumns count="7">
    <tableColumn id="1" xr3:uid="{F4CB9C73-321B-4CB4-8E89-F389503DE1B2}" name="Section" dataDxfId="39" dataCellStyle="Context_columns"/>
    <tableColumn id="2" xr3:uid="{CA8AF84D-9F48-47CE-8D2A-F8BD2AD1617E}" name="Row" dataDxfId="38" dataCellStyle="Context_columns">
      <calculatedColumnFormula>ROW()</calculatedColumnFormula>
    </tableColumn>
    <tableColumn id="4" xr3:uid="{6A7905B7-C9B7-41EA-84ED-9435E0EFAC2C}" name="Category1" dataCellStyle="Standard_category_row"/>
    <tableColumn id="7" xr3:uid="{16972B26-7D30-416D-8C12-3D4C0E00EDB1}" name="Specified Terminal Activities" dataDxfId="37" dataCellStyle="Data_Entry"/>
    <tableColumn id="8" xr3:uid="{638690A5-AD9D-4843-8F09-465D816EA093}" name="Airfield Activities" dataDxfId="36" dataCellStyle="Data_Entry"/>
    <tableColumn id="12" xr3:uid="{A7C3576B-5BA3-4508-95A4-5A9470F2B33C}" name="Aircraft and Freight Activities" dataCellStyle="Data_Entry"/>
    <tableColumn id="14" xr3:uid="{F007ADE7-83D4-4A9D-A432-323CDFA4A5E3}" name="Total " dataDxfId="35"/>
  </tableColumns>
  <tableStyleInfo name="cc_TableStyle"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1F936A2B-3DD2-4AE3-A439-6F3160793BBA}" name="tb_s16_16e_2__human_resource_statistics" displayName="tb_s16_16e_2__human_resource_statistics" ref="A150:D151" totalsRowShown="0" headerRowDxfId="34" dataDxfId="33">
  <autoFilter ref="A150:D151" xr:uid="{1F936A2B-3DD2-4AE3-A439-6F3160793BBA}"/>
  <tableColumns count="4">
    <tableColumn id="1" xr3:uid="{1BF56CE9-1FD4-4208-BDED-CB51533E0CE0}" name="Section" dataDxfId="32" dataCellStyle="Context_columns"/>
    <tableColumn id="2" xr3:uid="{2A4DD1A9-29C4-40C3-AA09-B91D2DB1B8CC}" name="Row" dataDxfId="31" dataCellStyle="Context_columns">
      <calculatedColumnFormula>ROW()</calculatedColumnFormula>
    </tableColumn>
    <tableColumn id="4" xr3:uid="{ACC8E979-C4F0-4087-BE77-B63EFC03C25A}" name="Category1" dataCellStyle="Standard_category_row"/>
    <tableColumn id="14" xr3:uid="{57F29A64-3E67-418F-ACBD-A0EF30FCE251}" name="Human resource costs ($000)" dataCellStyle="Data_Entry"/>
  </tableColumns>
  <tableStyleInfo name="cc_TableStyle"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32B86A1D-7E4F-4B0D-BBFA-CABC550BBF21}" name="tb_s16_16a_5__aircraft_statistics" displayName="tb_s16_16a_5__aircraft_statistics" ref="A110:E111" totalsRowShown="0" headerRowDxfId="30" headerRowBorderDxfId="29" tableBorderDxfId="28">
  <autoFilter ref="A110:E111" xr:uid="{32B86A1D-7E4F-4B0D-BBFA-CABC550BBF21}"/>
  <tableColumns count="5">
    <tableColumn id="1" xr3:uid="{5F93034E-A93B-41DB-B7B5-EF047669870B}" name="Section" dataDxfId="27" dataCellStyle="Context_columns"/>
    <tableColumn id="2" xr3:uid="{F990FFA5-E223-48E5-A729-8EA0E22500F9}" name="Row" dataDxfId="26" dataCellStyle="Context_columns">
      <calculatedColumnFormula>ROW()</calculatedColumnFormula>
    </tableColumn>
    <tableColumn id="3" xr3:uid="{C3408D6B-BB1B-4572-8BE9-1D5B2BD945AF}" name="Category2" dataDxfId="25" dataCellStyle="Key_category_row"/>
    <tableColumn id="4" xr3:uid="{46C5B7E6-EE33-4F46-94E7-EB5B9859210D}" name="Total number of landings" dataDxfId="24" dataCellStyle="Formula">
      <calculatedColumnFormula>E48+E75+E98+SUM(D103:D106)</calculatedColumnFormula>
    </tableColumn>
    <tableColumn id="5" xr3:uid="{19BF74C1-63D1-4940-8DF3-5BF21706B336}" name="Total  MCTOW (tonnes)" dataDxfId="23" dataCellStyle="Formula">
      <calculatedColumnFormula>F48+F75+F98+SUM(E103:E106)</calculatedColumnFormula>
    </tableColumn>
  </tableColumns>
  <tableStyleInfo name="TableStyleMedium2"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BDF6AA65-7698-4473-8593-E24BC71FC963}" name="tb_s17_17a_1__components_of_pricing_statistics" displayName="tb_s17_17a_1__components_of_pricing_statistics" ref="A5:F16" totalsRowShown="0" headerRowDxfId="22" dataDxfId="21">
  <autoFilter ref="A5:F16" xr:uid="{DFE43D82-6A7B-43C5-AE88-1F851790423F}"/>
  <tableColumns count="6">
    <tableColumn id="1" xr3:uid="{B882DF6F-19FC-4CD3-AF2C-3CD5D55FA087}" name="Section" dataCellStyle="Context_columns"/>
    <tableColumn id="2" xr3:uid="{660CE90F-5C76-417C-B36B-CDB42F9DB32E}" name="Row" dataCellStyle="Context_columns">
      <calculatedColumnFormula>ROW()</calculatedColumnFormula>
    </tableColumn>
    <tableColumn id="4" xr3:uid="{D025B34F-BD23-47AA-AC59-BF6AB4BF1C51}" name="Category1" dataCellStyle="Standard_category_row"/>
    <tableColumn id="7" xr3:uid="{77F7AFC2-1122-4EAD-95F4-23DAF20C102E}" name="($000)" dataDxfId="20" dataCellStyle="Data_Entry"/>
    <tableColumn id="8" xr3:uid="{17950D26-7CD2-4739-ABCE-F19A5861D586}" name="Number of passengers" dataDxfId="19"/>
    <tableColumn id="12" xr3:uid="{503FC80D-5318-46AD-91EC-DFCC4B25DEFF}" name="Total MCTOW (tonnes)" dataDxfId="18"/>
  </tableColumns>
  <tableStyleInfo name="cc_TableStyle"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87B11AFB-E640-405E-84C6-78D92A84D2D9}" name="tb_s17_17b_1__pricing_statistics" displayName="tb_s17_17b_1__pricing_statistics" ref="A20:G25" totalsRowShown="0" headerRowDxfId="17" dataDxfId="16">
  <autoFilter ref="A20:G25" xr:uid="{D6C4BD34-64C1-4B93-9E79-3A6B48998070}"/>
  <tableColumns count="7">
    <tableColumn id="1" xr3:uid="{45FCF74D-7FF5-4D3B-9CF4-18CF5B5B0FE3}" name="Section" dataCellStyle="Context_columns"/>
    <tableColumn id="2" xr3:uid="{AA9496E4-9D0D-457C-8923-62431023E73C}" name="Row" dataCellStyle="Context_columns">
      <calculatedColumnFormula>ROW()</calculatedColumnFormula>
    </tableColumn>
    <tableColumn id="4" xr3:uid="{0C2A6625-0FF5-4396-B393-EA8135681E50}" name="Category1" dataCellStyle="Standard_category_row"/>
    <tableColumn id="7" xr3:uid="{5D0153F0-BA1D-4B97-AF3A-0BC3B69740DB}" name="Average charge _x000a_($ per passenger)" dataDxfId="15"/>
    <tableColumn id="8" xr3:uid="{329557FF-00D7-48AB-A05C-A765825F099C}" name="Average charge_x000a_($ per tonne MCTOW)" dataDxfId="14"/>
    <tableColumn id="12" xr3:uid="{C902D784-1C32-4D70-857D-83A83D176A1C}" name="Average charge_x000a_($ per domestic passenger)" dataDxfId="13"/>
    <tableColumn id="13" xr3:uid="{A2A6A655-44F0-4426-8F8D-894CA51C81FA}" name="Average charge_x000a_($ per international passenger)" dataDxfId="12"/>
  </tableColumns>
  <tableStyleInfo name="cc_TableStyle"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C5D2FD97-96AE-432A-BEDD-56CAE82AA5B7}" name="tb_s25_25_1__regulatory_asset_base_value_for_land" displayName="tb_s25_25_1__regulatory_asset_base_value_for_land" ref="A5:E12" totalsRowShown="0" headerRowDxfId="11" dataDxfId="10">
  <autoFilter ref="A5:E12" xr:uid="{B899E0D0-96F2-452B-89D0-A113A996D48F}"/>
  <tableColumns count="5">
    <tableColumn id="1" xr3:uid="{A9DB403F-F266-4E44-B826-4D2B8A86C539}" name="Section" dataCellStyle="Context_columns"/>
    <tableColumn id="2" xr3:uid="{58FD07E5-0CFD-4B4D-A164-96A37E780846}" name="Row" dataCellStyle="Context_columns">
      <calculatedColumnFormula>ROW()</calculatedColumnFormula>
    </tableColumn>
    <tableColumn id="4" xr3:uid="{96BF08FA-995D-48B6-88AF-481F6568C09A}" name="Category1" dataDxfId="9"/>
    <tableColumn id="7" xr3:uid="{C0B49A61-FDEB-4DDA-8962-CFCD94605B9F}" name="Unallocated RAB |_x000a_($000)" dataDxfId="8"/>
    <tableColumn id="8" xr3:uid="{10906746-026B-4ED7-95D2-4A66EFE313AE}" name="RAB |_x000a_ ($000)" dataDxfId="7" dataCellStyle="Data_Entry"/>
  </tableColumns>
  <tableStyleInfo name="cc_TableStyle"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BB977D66-8D99-47CA-8A48-28594AD59508}" name="tb__commentary" displayName="tb__commentary" ref="A4:E23" totalsRowShown="0" headerRowDxfId="6" dataDxfId="5">
  <autoFilter ref="A4:E23" xr:uid="{BB977D66-8D99-47CA-8A48-28594AD59508}"/>
  <sortState xmlns:xlrd2="http://schemas.microsoft.com/office/spreadsheetml/2017/richdata2" ref="A5:D16">
    <sortCondition ref="C4:C16"/>
  </sortState>
  <tableColumns count="5">
    <tableColumn id="1" xr3:uid="{7971FD96-EB73-40F6-9633-DE348F035D58}" name="Section" dataDxfId="4" dataCellStyle="Context_columns"/>
    <tableColumn id="2" xr3:uid="{05CB346C-CFA1-4263-BACE-4FD20055677E}" name="Row" dataDxfId="3" dataCellStyle="Context_columns"/>
    <tableColumn id="4" xr3:uid="{CE87D861-A2CA-4BF0-9D98-3126733F0677}" name="Category1" dataDxfId="2" dataCellStyle="Standard_category_row"/>
    <tableColumn id="6" xr3:uid="{F4040E2D-91A1-486A-8797-2907C4949B8A}" name="Category2 | Description" dataDxfId="1" dataCellStyle="Standard_category_row"/>
    <tableColumn id="5" xr3:uid="{A7580BEB-B57E-4C7C-BCE2-5C3C6C0C2593}" name="Commentary" dataDxfId="0"/>
  </tableColumns>
  <tableStyleInfo name="cc_TableStyle"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7" Type="http://schemas.openxmlformats.org/officeDocument/2006/relationships/table" Target="../tables/table7.xml"/><Relationship Id="rId2" Type="http://schemas.openxmlformats.org/officeDocument/2006/relationships/table" Target="../tables/table2.xml"/><Relationship Id="rId1" Type="http://schemas.openxmlformats.org/officeDocument/2006/relationships/printerSettings" Target="../printerSettings/printerSettings4.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5.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table" Target="../tables/table10.xml"/><Relationship Id="rId1" Type="http://schemas.openxmlformats.org/officeDocument/2006/relationships/printerSettings" Target="../printerSettings/printerSettings6.bin"/><Relationship Id="rId5" Type="http://schemas.openxmlformats.org/officeDocument/2006/relationships/table" Target="../tables/table13.xml"/><Relationship Id="rId4" Type="http://schemas.openxmlformats.org/officeDocument/2006/relationships/table" Target="../tables/table12.xml"/></Relationships>
</file>

<file path=xl/worksheets/_rels/sheet7.xml.rels><?xml version="1.0" encoding="UTF-8" standalone="yes"?>
<Relationships xmlns="http://schemas.openxmlformats.org/package/2006/relationships"><Relationship Id="rId8" Type="http://schemas.openxmlformats.org/officeDocument/2006/relationships/table" Target="../tables/table20.xml"/><Relationship Id="rId3" Type="http://schemas.openxmlformats.org/officeDocument/2006/relationships/table" Target="../tables/table15.xml"/><Relationship Id="rId7" Type="http://schemas.openxmlformats.org/officeDocument/2006/relationships/table" Target="../tables/table19.xml"/><Relationship Id="rId2" Type="http://schemas.openxmlformats.org/officeDocument/2006/relationships/table" Target="../tables/table14.xml"/><Relationship Id="rId1" Type="http://schemas.openxmlformats.org/officeDocument/2006/relationships/printerSettings" Target="../printerSettings/printerSettings7.bin"/><Relationship Id="rId6" Type="http://schemas.openxmlformats.org/officeDocument/2006/relationships/table" Target="../tables/table18.xml"/><Relationship Id="rId11" Type="http://schemas.openxmlformats.org/officeDocument/2006/relationships/table" Target="../tables/table23.xml"/><Relationship Id="rId5" Type="http://schemas.openxmlformats.org/officeDocument/2006/relationships/table" Target="../tables/table17.xml"/><Relationship Id="rId10" Type="http://schemas.openxmlformats.org/officeDocument/2006/relationships/table" Target="../tables/table22.xml"/><Relationship Id="rId4" Type="http://schemas.openxmlformats.org/officeDocument/2006/relationships/table" Target="../tables/table16.xml"/><Relationship Id="rId9" Type="http://schemas.openxmlformats.org/officeDocument/2006/relationships/table" Target="../tables/table21.xml"/></Relationships>
</file>

<file path=xl/worksheets/_rels/sheet8.xml.rels><?xml version="1.0" encoding="UTF-8" standalone="yes"?>
<Relationships xmlns="http://schemas.openxmlformats.org/package/2006/relationships"><Relationship Id="rId3" Type="http://schemas.openxmlformats.org/officeDocument/2006/relationships/table" Target="../tables/table25.xml"/><Relationship Id="rId2" Type="http://schemas.openxmlformats.org/officeDocument/2006/relationships/table" Target="../tables/table24.xml"/><Relationship Id="rId1" Type="http://schemas.openxmlformats.org/officeDocument/2006/relationships/printerSettings" Target="../printerSettings/printerSettings8.bin"/><Relationship Id="rId4" Type="http://schemas.openxmlformats.org/officeDocument/2006/relationships/table" Target="../tables/table26.xml"/></Relationships>
</file>

<file path=xl/worksheets/_rels/sheet9.xml.rels><?xml version="1.0" encoding="UTF-8" standalone="yes"?>
<Relationships xmlns="http://schemas.openxmlformats.org/package/2006/relationships"><Relationship Id="rId3" Type="http://schemas.openxmlformats.org/officeDocument/2006/relationships/table" Target="../tables/table28.xml"/><Relationship Id="rId2" Type="http://schemas.openxmlformats.org/officeDocument/2006/relationships/table" Target="../tables/table27.xml"/><Relationship Id="rId1" Type="http://schemas.openxmlformats.org/officeDocument/2006/relationships/printerSettings" Target="../printerSettings/printerSettings9.bin"/><Relationship Id="rId6" Type="http://schemas.openxmlformats.org/officeDocument/2006/relationships/table" Target="../tables/table31.xml"/><Relationship Id="rId5" Type="http://schemas.openxmlformats.org/officeDocument/2006/relationships/table" Target="../tables/table30.xml"/><Relationship Id="rId4" Type="http://schemas.openxmlformats.org/officeDocument/2006/relationships/table" Target="../tables/table29.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32.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34.xml"/><Relationship Id="rId2" Type="http://schemas.openxmlformats.org/officeDocument/2006/relationships/table" Target="../tables/table33.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36.xml"/><Relationship Id="rId2" Type="http://schemas.openxmlformats.org/officeDocument/2006/relationships/table" Target="../tables/table35.xml"/><Relationship Id="rId1" Type="http://schemas.openxmlformats.org/officeDocument/2006/relationships/printerSettings" Target="../printerSettings/printerSettings12.bin"/><Relationship Id="rId4" Type="http://schemas.openxmlformats.org/officeDocument/2006/relationships/table" Target="../tables/table37.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39.xml"/><Relationship Id="rId2" Type="http://schemas.openxmlformats.org/officeDocument/2006/relationships/table" Target="../tables/table38.xml"/><Relationship Id="rId1" Type="http://schemas.openxmlformats.org/officeDocument/2006/relationships/printerSettings" Target="../printerSettings/printerSettings13.bin"/><Relationship Id="rId4" Type="http://schemas.openxmlformats.org/officeDocument/2006/relationships/table" Target="../tables/table40.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42.xml"/><Relationship Id="rId2" Type="http://schemas.openxmlformats.org/officeDocument/2006/relationships/table" Target="../tables/table4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44.xml"/><Relationship Id="rId7" Type="http://schemas.openxmlformats.org/officeDocument/2006/relationships/table" Target="../tables/table48.xml"/><Relationship Id="rId2" Type="http://schemas.openxmlformats.org/officeDocument/2006/relationships/table" Target="../tables/table43.xml"/><Relationship Id="rId1" Type="http://schemas.openxmlformats.org/officeDocument/2006/relationships/printerSettings" Target="../printerSettings/printerSettings15.bin"/><Relationship Id="rId6" Type="http://schemas.openxmlformats.org/officeDocument/2006/relationships/table" Target="../tables/table47.xml"/><Relationship Id="rId5" Type="http://schemas.openxmlformats.org/officeDocument/2006/relationships/table" Target="../tables/table46.xml"/><Relationship Id="rId4" Type="http://schemas.openxmlformats.org/officeDocument/2006/relationships/table" Target="../tables/table45.xml"/></Relationships>
</file>

<file path=xl/worksheets/_rels/sheet16.xml.rels><?xml version="1.0" encoding="UTF-8" standalone="yes"?>
<Relationships xmlns="http://schemas.openxmlformats.org/package/2006/relationships"><Relationship Id="rId3" Type="http://schemas.openxmlformats.org/officeDocument/2006/relationships/table" Target="../tables/table50.xml"/><Relationship Id="rId2" Type="http://schemas.openxmlformats.org/officeDocument/2006/relationships/table" Target="../tables/table49.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52.xml"/><Relationship Id="rId2" Type="http://schemas.openxmlformats.org/officeDocument/2006/relationships/table" Target="../tables/table5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8" Type="http://schemas.openxmlformats.org/officeDocument/2006/relationships/table" Target="../tables/table59.xml"/><Relationship Id="rId3" Type="http://schemas.openxmlformats.org/officeDocument/2006/relationships/table" Target="../tables/table54.xml"/><Relationship Id="rId7" Type="http://schemas.openxmlformats.org/officeDocument/2006/relationships/table" Target="../tables/table58.xml"/><Relationship Id="rId2" Type="http://schemas.openxmlformats.org/officeDocument/2006/relationships/table" Target="../tables/table53.xml"/><Relationship Id="rId1" Type="http://schemas.openxmlformats.org/officeDocument/2006/relationships/printerSettings" Target="../printerSettings/printerSettings19.bin"/><Relationship Id="rId6" Type="http://schemas.openxmlformats.org/officeDocument/2006/relationships/table" Target="../tables/table57.xml"/><Relationship Id="rId11" Type="http://schemas.openxmlformats.org/officeDocument/2006/relationships/table" Target="../tables/table62.xml"/><Relationship Id="rId5" Type="http://schemas.openxmlformats.org/officeDocument/2006/relationships/table" Target="../tables/table56.xml"/><Relationship Id="rId10" Type="http://schemas.openxmlformats.org/officeDocument/2006/relationships/table" Target="../tables/table61.xml"/><Relationship Id="rId4" Type="http://schemas.openxmlformats.org/officeDocument/2006/relationships/table" Target="../tables/table55.xml"/><Relationship Id="rId9" Type="http://schemas.openxmlformats.org/officeDocument/2006/relationships/table" Target="../tables/table60.xml"/></Relationships>
</file>

<file path=xl/worksheets/_rels/sheet20.xml.rels><?xml version="1.0" encoding="UTF-8" standalone="yes"?>
<Relationships xmlns="http://schemas.openxmlformats.org/package/2006/relationships"><Relationship Id="rId3" Type="http://schemas.openxmlformats.org/officeDocument/2006/relationships/table" Target="../tables/table64.xml"/><Relationship Id="rId2" Type="http://schemas.openxmlformats.org/officeDocument/2006/relationships/table" Target="../tables/table6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65.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table" Target="../tables/table66.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D56BA-D239-47AB-BF10-C954FA3A169D}">
  <sheetPr>
    <tabColor indexed="10"/>
    <pageSetUpPr fitToPage="1"/>
  </sheetPr>
  <dimension ref="A1:E20"/>
  <sheetViews>
    <sheetView showGridLines="0" tabSelected="1" view="pageBreakPreview" topLeftCell="A2" zoomScaleNormal="100" zoomScaleSheetLayoutView="100" workbookViewId="0">
      <selection activeCell="D8" sqref="D8"/>
    </sheetView>
  </sheetViews>
  <sheetFormatPr defaultColWidth="9.26953125" defaultRowHeight="13"/>
  <cols>
    <col min="1" max="1" width="21.453125" style="24" customWidth="1"/>
    <col min="2" max="3" width="43.26953125" style="24" customWidth="1"/>
    <col min="4" max="4" width="32.7265625" style="24" customWidth="1"/>
    <col min="5" max="5" width="32.26953125" style="24" customWidth="1"/>
    <col min="6" max="6" width="28.54296875" style="24" customWidth="1"/>
    <col min="7" max="7" width="9.26953125" style="24" customWidth="1"/>
    <col min="8" max="16384" width="9.26953125" style="24"/>
  </cols>
  <sheetData>
    <row r="1" spans="1:5">
      <c r="A1" s="21"/>
      <c r="B1" s="22"/>
      <c r="C1" s="22"/>
      <c r="D1" s="22"/>
      <c r="E1" s="23"/>
    </row>
    <row r="2" spans="1:5" ht="236.25" customHeight="1">
      <c r="A2" s="25"/>
      <c r="B2" s="26"/>
      <c r="C2" s="26"/>
      <c r="D2" s="26" t="s">
        <v>0</v>
      </c>
      <c r="E2" s="27"/>
    </row>
    <row r="3" spans="1:5" ht="23.5">
      <c r="A3" s="190" t="s">
        <v>1</v>
      </c>
      <c r="B3" s="190"/>
      <c r="C3" s="28"/>
      <c r="D3" s="28"/>
      <c r="E3" s="29"/>
    </row>
    <row r="4" spans="1:5" ht="27.75" customHeight="1">
      <c r="A4" s="190" t="s">
        <v>2</v>
      </c>
      <c r="B4" s="28"/>
      <c r="C4" s="28"/>
      <c r="D4" s="28"/>
      <c r="E4" s="29"/>
    </row>
    <row r="5" spans="1:5" ht="27.75" customHeight="1">
      <c r="A5" s="190" t="s">
        <v>3</v>
      </c>
      <c r="B5" s="28"/>
      <c r="C5" s="28"/>
      <c r="D5" s="28"/>
      <c r="E5" s="29"/>
    </row>
    <row r="6" spans="1:5" ht="21">
      <c r="A6" s="191" t="s">
        <v>4</v>
      </c>
      <c r="B6" s="28"/>
      <c r="C6" s="28"/>
      <c r="D6" s="28"/>
      <c r="E6" s="29"/>
    </row>
    <row r="7" spans="1:5" ht="60" customHeight="1">
      <c r="A7" s="25"/>
      <c r="B7" s="26"/>
      <c r="C7" s="26"/>
      <c r="D7" s="26"/>
      <c r="E7" s="27"/>
    </row>
    <row r="8" spans="1:5" ht="15" customHeight="1">
      <c r="A8" s="25"/>
      <c r="B8" s="30" t="s">
        <v>5</v>
      </c>
      <c r="C8" s="30"/>
      <c r="D8" s="289" t="s">
        <v>6</v>
      </c>
      <c r="E8" s="27"/>
    </row>
    <row r="9" spans="1:5" ht="3" customHeight="1">
      <c r="A9" s="25"/>
      <c r="B9" s="26"/>
      <c r="C9" s="26"/>
      <c r="D9" s="26"/>
      <c r="E9" s="27"/>
    </row>
    <row r="10" spans="1:5" ht="15" customHeight="1">
      <c r="A10" s="25"/>
      <c r="B10" s="30" t="s">
        <v>7</v>
      </c>
      <c r="C10" s="30"/>
      <c r="D10" s="43">
        <v>46356</v>
      </c>
      <c r="E10" s="27"/>
    </row>
    <row r="11" spans="1:5" ht="3" customHeight="1">
      <c r="A11" s="25"/>
      <c r="B11" s="26"/>
      <c r="C11" s="26"/>
      <c r="D11" s="26"/>
      <c r="E11" s="27"/>
    </row>
    <row r="12" spans="1:5" ht="15" customHeight="1">
      <c r="A12" s="25"/>
      <c r="B12" s="30" t="s">
        <v>8</v>
      </c>
      <c r="C12" s="30"/>
      <c r="D12" s="44">
        <v>46203</v>
      </c>
      <c r="E12" s="27"/>
    </row>
    <row r="13" spans="1:5" ht="3" customHeight="1">
      <c r="A13" s="25"/>
      <c r="B13" s="26"/>
      <c r="C13" s="26"/>
      <c r="D13" s="26"/>
      <c r="E13" s="27"/>
    </row>
    <row r="14" spans="1:5" ht="15" customHeight="1">
      <c r="A14" s="25"/>
      <c r="B14" s="30" t="s">
        <v>9</v>
      </c>
      <c r="C14" s="30"/>
      <c r="D14" s="44">
        <v>45107</v>
      </c>
      <c r="E14" s="27"/>
    </row>
    <row r="15" spans="1:5" ht="3.65" customHeight="1">
      <c r="A15" s="31"/>
      <c r="E15" s="32"/>
    </row>
    <row r="16" spans="1:5" ht="15" customHeight="1">
      <c r="A16" s="25"/>
      <c r="B16" s="182" t="s">
        <v>10</v>
      </c>
      <c r="C16" s="33"/>
      <c r="D16" s="179" t="str">
        <f>IF(AND('S4.RAB Roll-Forward'!L91:L99,'S4.RAB Roll-Forward'!I33,'S7.Segmented Information'!J5:J20)=TRUE, "OK", "Error")</f>
        <v>OK</v>
      </c>
      <c r="E16" s="27"/>
    </row>
    <row r="17" spans="1:5" ht="15" customHeight="1">
      <c r="A17" s="25"/>
      <c r="B17" s="180"/>
      <c r="C17" s="33"/>
      <c r="D17" s="181"/>
      <c r="E17" s="27"/>
    </row>
    <row r="18" spans="1:5" ht="15" customHeight="1">
      <c r="A18" s="198" t="s">
        <v>11</v>
      </c>
      <c r="B18" s="28"/>
      <c r="C18" s="28"/>
      <c r="D18" s="28"/>
      <c r="E18" s="29"/>
    </row>
    <row r="19" spans="1:5">
      <c r="A19" s="199" t="s">
        <v>755</v>
      </c>
      <c r="B19" s="28"/>
      <c r="C19" s="28"/>
      <c r="D19" s="28"/>
      <c r="E19" s="29"/>
    </row>
    <row r="20" spans="1:5" ht="40.15" customHeight="1">
      <c r="A20" s="34" t="s">
        <v>756</v>
      </c>
      <c r="B20" s="35"/>
      <c r="C20" s="35"/>
      <c r="D20" s="35"/>
      <c r="E20" s="36"/>
    </row>
  </sheetData>
  <sheetProtection sheet="1" formatCells="0" formatColumns="0" formatRows="0" insertHyperlinks="0"/>
  <dataValidations count="4">
    <dataValidation type="date" operator="greaterThan" allowBlank="1" errorTitle="Date entry" error="Dates after 1 January 2001 accepted" promptTitle="Date entry" prompt=" " sqref="D14" xr:uid="{BAB988DB-8DE4-4191-90A7-190EB5B6F2D7}">
      <formula1>45778</formula1>
    </dataValidation>
    <dataValidation type="date" operator="greaterThan" allowBlank="1" showErrorMessage="1" errorTitle="Date entry" error="Dates after 1 January 2011 accepted" promptTitle="Date entry" prompt=" " sqref="D12" xr:uid="{D825D407-F8CD-4D43-87E3-89E827A47A45}">
      <formula1>45778</formula1>
    </dataValidation>
    <dataValidation type="list" allowBlank="1" promptTitle="Select name of the airport" prompt=" " sqref="D8" xr:uid="{BD27A75D-DF00-4E8F-9DF7-FAF4EDDDA7BA}">
      <formula1>"Auckland International Airport, Christchurch International Airport, Wellington International Airport"</formula1>
    </dataValidation>
    <dataValidation type="date" operator="greaterThan" allowBlank="1" errorTitle="Date entry" error="Dates after 1 January 2011 accepted" promptTitle="Disclosure Date" prompt="Please input the disclosure date" sqref="D10" xr:uid="{C6837140-8FA9-4EDD-A4F1-A125EF4B346A}">
      <formula1>46143</formula1>
    </dataValidation>
  </dataValidations>
  <pageMargins left="0.74803149606299213" right="0.74803149606299213" top="0.98425196850393704" bottom="0.98425196850393704" header="0.51181102362204722" footer="0.51181102362204722"/>
  <pageSetup paperSize="9" scale="49" fitToHeight="10" orientation="portrait" r:id="rId1"/>
  <headerFooter alignWithMargins="0">
    <oddHeader>&amp;CCommerce Commission Information Disclosure Template</oddHeader>
    <oddFooter>&amp;C&amp;F&amp;R&amp;A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1EE1E-C490-4247-97AC-4795DEF41DF0}">
  <sheetPr>
    <tabColor indexed="10"/>
    <pageSetUpPr fitToPage="1"/>
  </sheetPr>
  <dimension ref="A1:C23"/>
  <sheetViews>
    <sheetView showGridLines="0" view="pageBreakPreview" zoomScaleNormal="100" zoomScaleSheetLayoutView="100" workbookViewId="0">
      <selection activeCell="B19" sqref="B19"/>
    </sheetView>
  </sheetViews>
  <sheetFormatPr defaultColWidth="8.7265625" defaultRowHeight="13"/>
  <cols>
    <col min="1" max="1" width="13.453125" style="24" customWidth="1"/>
    <col min="2" max="2" width="110.26953125" style="24" bestFit="1" customWidth="1"/>
    <col min="3" max="3" width="31.7265625" style="24" customWidth="1"/>
    <col min="4" max="4" width="8.7265625" style="24"/>
    <col min="5" max="6" width="9.26953125" style="24" customWidth="1"/>
    <col min="7" max="7" width="24.26953125" style="24" customWidth="1"/>
    <col min="8" max="8" width="36.7265625" style="24" customWidth="1"/>
    <col min="9" max="16384" width="8.7265625" style="24"/>
  </cols>
  <sheetData>
    <row r="1" spans="1:3" ht="23.5">
      <c r="A1" s="93" t="s">
        <v>12</v>
      </c>
      <c r="B1" s="87"/>
      <c r="C1" s="87"/>
    </row>
    <row r="2" spans="1:3">
      <c r="A2" s="25"/>
      <c r="B2" s="88"/>
      <c r="C2" s="89"/>
    </row>
    <row r="3" spans="1:3" ht="15.5">
      <c r="A3" s="90" t="s">
        <v>13</v>
      </c>
      <c r="B3" s="91" t="s">
        <v>14</v>
      </c>
      <c r="C3" s="91" t="s">
        <v>15</v>
      </c>
    </row>
    <row r="4" spans="1:3" ht="14.5">
      <c r="A4" s="95">
        <v>1</v>
      </c>
      <c r="B4" s="94" t="s">
        <v>16</v>
      </c>
      <c r="C4" s="92" t="s">
        <v>17</v>
      </c>
    </row>
    <row r="5" spans="1:3" ht="14.5">
      <c r="A5" s="95">
        <v>2</v>
      </c>
      <c r="B5" s="94" t="s">
        <v>18</v>
      </c>
      <c r="C5" s="92" t="s">
        <v>19</v>
      </c>
    </row>
    <row r="6" spans="1:3" ht="14.5">
      <c r="A6" s="95">
        <v>3</v>
      </c>
      <c r="B6" s="94" t="s">
        <v>20</v>
      </c>
      <c r="C6" s="92" t="s">
        <v>21</v>
      </c>
    </row>
    <row r="7" spans="1:3" ht="14.5">
      <c r="A7" s="95">
        <v>4</v>
      </c>
      <c r="B7" s="94" t="s">
        <v>22</v>
      </c>
      <c r="C7" s="92" t="s">
        <v>23</v>
      </c>
    </row>
    <row r="8" spans="1:3" ht="14.5">
      <c r="A8" s="95">
        <v>5</v>
      </c>
      <c r="B8" s="94" t="s">
        <v>24</v>
      </c>
      <c r="C8" s="92" t="s">
        <v>25</v>
      </c>
    </row>
    <row r="9" spans="1:3" ht="14.5">
      <c r="A9" s="95">
        <v>6</v>
      </c>
      <c r="B9" s="94" t="s">
        <v>26</v>
      </c>
      <c r="C9" s="92" t="s">
        <v>27</v>
      </c>
    </row>
    <row r="10" spans="1:3" ht="14.5">
      <c r="A10" s="95">
        <v>7</v>
      </c>
      <c r="B10" s="94" t="s">
        <v>28</v>
      </c>
      <c r="C10" s="92" t="s">
        <v>29</v>
      </c>
    </row>
    <row r="11" spans="1:3" ht="14.5">
      <c r="A11" s="95">
        <v>8</v>
      </c>
      <c r="B11" s="94" t="s">
        <v>30</v>
      </c>
      <c r="C11" s="92" t="s">
        <v>31</v>
      </c>
    </row>
    <row r="12" spans="1:3" ht="14.5">
      <c r="A12" s="95">
        <v>9</v>
      </c>
      <c r="B12" s="94" t="s">
        <v>32</v>
      </c>
      <c r="C12" s="92" t="s">
        <v>33</v>
      </c>
    </row>
    <row r="13" spans="1:3" ht="14.5">
      <c r="A13" s="95">
        <v>10</v>
      </c>
      <c r="B13" s="94" t="s">
        <v>34</v>
      </c>
      <c r="C13" s="92" t="s">
        <v>35</v>
      </c>
    </row>
    <row r="14" spans="1:3" ht="14.5">
      <c r="A14" s="95">
        <v>11</v>
      </c>
      <c r="B14" s="94" t="s">
        <v>36</v>
      </c>
      <c r="C14" s="92" t="s">
        <v>37</v>
      </c>
    </row>
    <row r="15" spans="1:3" ht="14.5">
      <c r="A15" s="95">
        <v>12</v>
      </c>
      <c r="B15" s="94" t="s">
        <v>38</v>
      </c>
      <c r="C15" s="92" t="s">
        <v>39</v>
      </c>
    </row>
    <row r="16" spans="1:3" ht="14.5">
      <c r="A16" s="95">
        <v>13</v>
      </c>
      <c r="B16" s="94" t="s">
        <v>40</v>
      </c>
      <c r="C16" s="92" t="s">
        <v>41</v>
      </c>
    </row>
    <row r="17" spans="1:3" ht="14.5">
      <c r="A17" s="95">
        <v>14</v>
      </c>
      <c r="B17" s="94" t="s">
        <v>42</v>
      </c>
      <c r="C17" s="92" t="s">
        <v>43</v>
      </c>
    </row>
    <row r="18" spans="1:3" ht="14.5">
      <c r="A18" s="95">
        <v>15</v>
      </c>
      <c r="B18" s="94" t="s">
        <v>44</v>
      </c>
      <c r="C18" s="92" t="s">
        <v>45</v>
      </c>
    </row>
    <row r="19" spans="1:3" ht="14.5">
      <c r="A19" s="95">
        <v>16</v>
      </c>
      <c r="B19" s="94" t="s">
        <v>753</v>
      </c>
      <c r="C19" s="92" t="s">
        <v>46</v>
      </c>
    </row>
    <row r="20" spans="1:3" ht="14.5">
      <c r="A20" s="95">
        <v>17</v>
      </c>
      <c r="B20" s="94" t="s">
        <v>47</v>
      </c>
      <c r="C20" s="92" t="s">
        <v>48</v>
      </c>
    </row>
    <row r="21" spans="1:3" ht="14.5">
      <c r="A21" s="95">
        <v>25</v>
      </c>
      <c r="B21" s="94" t="s">
        <v>49</v>
      </c>
      <c r="C21" s="92" t="s">
        <v>50</v>
      </c>
    </row>
    <row r="22" spans="1:3" ht="14.5">
      <c r="A22" s="95"/>
      <c r="B22" s="94" t="s">
        <v>51</v>
      </c>
      <c r="C22" s="92" t="s">
        <v>52</v>
      </c>
    </row>
    <row r="23" spans="1:3" ht="16.149999999999999" customHeight="1">
      <c r="A23" s="25"/>
      <c r="B23" s="88"/>
      <c r="C23" s="89"/>
    </row>
  </sheetData>
  <sheetProtection formatColumns="0" formatRows="0"/>
  <hyperlinks>
    <hyperlink ref="B4" location="S1.Profitability!A1" display="REPORT ON PROFITABILITY" xr:uid="{C4DA53AC-406D-477F-B657-2D98C399E23B}"/>
    <hyperlink ref="B22" location="Commentary!A1" display="COMMENTARY" xr:uid="{C02BC1DB-ADDA-46BF-9AE3-5F4B6B801B2A}"/>
    <hyperlink ref="B5" location="'S2.Regulatory Profit'!A1" display="REPORT ON THE REGULATORY PROFIT" xr:uid="{7627FD7B-10AF-42B9-A2F0-91CAAB807705}"/>
    <hyperlink ref="B6" location="'S3.Tax Allowance'!A1" display="REPORT ON THE REGULATORY TAX ALLOWANCE" xr:uid="{F401AFBA-572F-4D3F-A9D7-5EAE35FA7136}"/>
    <hyperlink ref="B7" location="'S4.RAB Roll-Forward'!A1" display="REPORT ON REGULATORY ASSET BASE ROLL FORWARD" xr:uid="{E72C7F52-FB75-4581-BB8D-8548C1435EAF}"/>
    <hyperlink ref="B8" location="'S5.Related Party Transactions'!A1" display="REPORT ON RELATED PARTY TRANSACTIONS" xr:uid="{A29AC0EC-1B38-4502-80D0-DAF11175B5EB}"/>
    <hyperlink ref="B9" location="'S6.Actual to Forecast'!A1" display="REPORT ON ACTUAL TO FORECAST PERFORMANCE" xr:uid="{D5F24E79-14D5-44B6-BD2B-E67444EADE5E}"/>
    <hyperlink ref="B10" location="'S7.Segmented Information'!A1" display="REPORT ON SEGMENTED INFORMATION" xr:uid="{8A4321E3-0ED3-4CE6-930E-526788B816EF}"/>
    <hyperlink ref="B11" location="'S8.Consolidation Statement'!A1" display="CONSOLIDATION STATEMENT" xr:uid="{1D8DFAFE-F4B3-4758-9F59-FB23118335C3}"/>
    <hyperlink ref="B12" location="'S9.Asset Allocation'!A1" display="REPORT ON ASSET ALLOCATIONS" xr:uid="{0C7591BA-F612-4F01-A428-20B1585D645D}"/>
    <hyperlink ref="B13" location="'S10.Cost Allocation'!A1" display="REPORT ON COST ALLOCATIONS" xr:uid="{87A2ED93-B857-47B0-B033-8D0DAC6C23D0}"/>
    <hyperlink ref="B14" location="S11.Reliability!A1" display="REPORT ON RELIABILITY MEASURES" xr:uid="{716437B2-4B4D-464C-BEBC-4850E3ADC254}"/>
    <hyperlink ref="B15" location="'S12.Airfield Cap &amp; Utilisation'!A1" display="REPORT ON CAPACITY UTILISATION INDICATORS FOR AIRCRAFT AND FREIGHT ACTIVITIES AND AIRFIELD ACTIVITIES" xr:uid="{82BE7E35-9E55-44FB-95F8-91C17A1D7CE4}"/>
    <hyperlink ref="B16" location="'S13.Terminal Cap &amp; Utilisation'!A1" display="REPORT ON CAPACITY UTILISATION INDICATORS FOR SPECIFIED PASSENGER TERMINAL ACTIVITIES" xr:uid="{D794499B-360A-4A20-B32B-4FF3E2789710}"/>
    <hyperlink ref="B17" location="'S14.Passenger Surveys'!A1" display="REPORT ON PASSENGER SATISFACTION INDICATORS" xr:uid="{5D32CBF1-A071-45CA-87B2-BFA2039CA8E9}"/>
    <hyperlink ref="B18" location="S15.Forum!A1" display="REPORT ON OPERATIONAL IMPROVEMENT PROCESSES" xr:uid="{5A1C7055-8C68-4D61-BA27-73C53504FF0F}"/>
    <hyperlink ref="B19" location="S16.Statistics!A1" display="REPORT ON ASSOCAITED STATISTICS" xr:uid="{C7077A61-DABD-4A59-B4F5-17526961A8F4}"/>
    <hyperlink ref="B20" location="'S17.Pricing Stats'!A1" display="REPORT ON PRICING STATISTICS" xr:uid="{30B8EC33-2B77-4830-ABBB-401B1D245148}"/>
    <hyperlink ref="B21" location="'S25.Transitional Initial RAB'!A1" display="TRANSITIONAL REPORT ON REGULATORY ASSET BASE VALUE FOR LAND" xr:uid="{5294B17B-DFA3-48FB-BCBA-DF195C033786}"/>
  </hyperlinks>
  <pageMargins left="0.74803149606299213" right="0.74803149606299213" top="0.98425196850393704" bottom="0.98425196850393704" header="0.51181102362204722" footer="0.51181102362204722"/>
  <pageSetup paperSize="9" scale="55" fitToHeight="10" orientation="portrait" r:id="rId1"/>
  <headerFooter alignWithMargins="0">
    <oddHeader>&amp;CCommerce Commission Information Disclosure Template</oddHeader>
    <oddFooter>&amp;C&amp;F&amp;R&amp;A</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A3278-C260-41C6-862F-133AC40269D3}">
  <sheetPr>
    <tabColor rgb="FFFF0000"/>
  </sheetPr>
  <dimension ref="A1:A43"/>
  <sheetViews>
    <sheetView showGridLines="0" view="pageBreakPreview" zoomScaleNormal="100" zoomScaleSheetLayoutView="100" workbookViewId="0">
      <selection activeCell="B19" sqref="B19"/>
    </sheetView>
  </sheetViews>
  <sheetFormatPr defaultColWidth="9.26953125" defaultRowHeight="14.5"/>
  <cols>
    <col min="1" max="1" width="105.81640625" style="165" bestFit="1" customWidth="1"/>
    <col min="2" max="16384" width="9.26953125" style="165"/>
  </cols>
  <sheetData>
    <row r="1" spans="1:1" ht="23.5">
      <c r="A1" s="178" t="s">
        <v>53</v>
      </c>
    </row>
    <row r="2" spans="1:1">
      <c r="A2" s="177"/>
    </row>
    <row r="3" spans="1:1" ht="43.5">
      <c r="A3" s="166" t="s">
        <v>54</v>
      </c>
    </row>
    <row r="4" spans="1:1">
      <c r="A4" s="167"/>
    </row>
    <row r="5" spans="1:1" ht="15.5">
      <c r="A5" s="168" t="s">
        <v>55</v>
      </c>
    </row>
    <row r="6" spans="1:1" ht="52">
      <c r="A6" s="169" t="s">
        <v>748</v>
      </c>
    </row>
    <row r="7" spans="1:1" ht="14" customHeight="1">
      <c r="A7" s="169" t="s">
        <v>56</v>
      </c>
    </row>
    <row r="8" spans="1:1">
      <c r="A8" s="170"/>
    </row>
    <row r="9" spans="1:1" ht="15.5">
      <c r="A9" s="168" t="s">
        <v>57</v>
      </c>
    </row>
    <row r="10" spans="1:1" ht="39">
      <c r="A10" s="169" t="s">
        <v>58</v>
      </c>
    </row>
    <row r="11" spans="1:1" ht="42.65" customHeight="1">
      <c r="A11" s="169" t="s">
        <v>59</v>
      </c>
    </row>
    <row r="12" spans="1:1">
      <c r="A12" s="169"/>
    </row>
    <row r="13" spans="1:1" ht="15.5">
      <c r="A13" s="168" t="s">
        <v>60</v>
      </c>
    </row>
    <row r="14" spans="1:1" ht="52">
      <c r="A14" s="169" t="s">
        <v>61</v>
      </c>
    </row>
    <row r="15" spans="1:1">
      <c r="A15" s="169"/>
    </row>
    <row r="16" spans="1:1" ht="15.5">
      <c r="A16" s="171" t="s">
        <v>62</v>
      </c>
    </row>
    <row r="17" spans="1:1" ht="65">
      <c r="A17" s="172" t="s">
        <v>746</v>
      </c>
    </row>
    <row r="18" spans="1:1">
      <c r="A18" s="169"/>
    </row>
    <row r="19" spans="1:1" ht="15.5">
      <c r="A19" s="171" t="s">
        <v>749</v>
      </c>
    </row>
    <row r="20" spans="1:1" ht="52">
      <c r="A20" s="169" t="s">
        <v>750</v>
      </c>
    </row>
    <row r="21" spans="1:1" hidden="1">
      <c r="A21" s="169"/>
    </row>
    <row r="22" spans="1:1">
      <c r="A22" s="169"/>
    </row>
    <row r="23" spans="1:1" ht="15.5">
      <c r="A23" s="171" t="s">
        <v>63</v>
      </c>
    </row>
    <row r="24" spans="1:1" ht="26">
      <c r="A24" s="169" t="s">
        <v>64</v>
      </c>
    </row>
    <row r="25" spans="1:1" ht="52">
      <c r="A25" s="169" t="s">
        <v>65</v>
      </c>
    </row>
    <row r="26" spans="1:1">
      <c r="A26" s="169"/>
    </row>
    <row r="27" spans="1:1" ht="15.5">
      <c r="A27" s="174" t="s">
        <v>66</v>
      </c>
    </row>
    <row r="28" spans="1:1" ht="65">
      <c r="A28" s="173" t="s">
        <v>747</v>
      </c>
    </row>
    <row r="29" spans="1:1">
      <c r="A29" s="169"/>
    </row>
    <row r="30" spans="1:1" ht="15.5">
      <c r="A30" s="168" t="s">
        <v>67</v>
      </c>
    </row>
    <row r="31" spans="1:1" ht="26">
      <c r="A31" s="175" t="s">
        <v>68</v>
      </c>
    </row>
    <row r="32" spans="1:1">
      <c r="A32" s="175"/>
    </row>
    <row r="33" spans="1:1" ht="15.5">
      <c r="A33" s="168" t="s">
        <v>69</v>
      </c>
    </row>
    <row r="34" spans="1:1">
      <c r="A34" s="175" t="s">
        <v>70</v>
      </c>
    </row>
    <row r="35" spans="1:1">
      <c r="A35" s="183" t="s">
        <v>71</v>
      </c>
    </row>
    <row r="36" spans="1:1">
      <c r="A36" s="187" t="s">
        <v>72</v>
      </c>
    </row>
    <row r="37" spans="1:1" ht="30" customHeight="1">
      <c r="A37" s="175" t="s">
        <v>73</v>
      </c>
    </row>
    <row r="38" spans="1:1">
      <c r="A38" s="170"/>
    </row>
    <row r="39" spans="1:1" ht="15.5">
      <c r="A39" s="168" t="s">
        <v>74</v>
      </c>
    </row>
    <row r="40" spans="1:1">
      <c r="A40" s="184" t="s">
        <v>75</v>
      </c>
    </row>
    <row r="41" spans="1:1">
      <c r="A41" s="185" t="s">
        <v>76</v>
      </c>
    </row>
    <row r="42" spans="1:1">
      <c r="A42" s="186" t="s">
        <v>77</v>
      </c>
    </row>
    <row r="43" spans="1:1">
      <c r="A43" s="176"/>
    </row>
  </sheetData>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102"/>
  <sheetViews>
    <sheetView showGridLines="0" view="pageBreakPreview" topLeftCell="B1" zoomScaleNormal="100" zoomScaleSheetLayoutView="100" workbookViewId="0">
      <selection activeCell="B19" sqref="B19"/>
    </sheetView>
  </sheetViews>
  <sheetFormatPr defaultRowHeight="14.5"/>
  <cols>
    <col min="1" max="1" width="26.7265625" hidden="1" customWidth="1"/>
    <col min="2" max="2" width="9.26953125" bestFit="1" customWidth="1"/>
    <col min="3" max="3" width="12" bestFit="1" customWidth="1"/>
    <col min="4" max="4" width="44.26953125" bestFit="1" customWidth="1"/>
    <col min="5" max="5" width="37" customWidth="1"/>
    <col min="6" max="6" width="21.54296875" customWidth="1"/>
    <col min="7" max="7" width="19.453125" bestFit="1" customWidth="1"/>
    <col min="8" max="8" width="19.7265625" customWidth="1"/>
    <col min="9" max="9" width="20.26953125" customWidth="1"/>
    <col min="10" max="10" width="13.7265625" customWidth="1"/>
    <col min="11" max="11" width="32.26953125" bestFit="1" customWidth="1"/>
    <col min="12" max="18" width="13.26953125" bestFit="1" customWidth="1"/>
    <col min="20" max="20" width="13.26953125" bestFit="1" customWidth="1"/>
  </cols>
  <sheetData>
    <row r="1" spans="1:12" ht="23.5">
      <c r="B1" s="53" t="str">
        <f>_company_name&amp;"    |     Pricing period starting year - "&amp;TEXT(_pp_starting_year,"dd mmmm yyyy")&amp;"    |     Disclosure year - "&amp;TEXT(_dy_year_ended,"yyyy")</f>
        <v>[select name of the airport]    |     Pricing period starting year - 30 June 2023    |     Disclosure year - 2026</v>
      </c>
    </row>
    <row r="2" spans="1:12" ht="23.5">
      <c r="B2" s="53"/>
    </row>
    <row r="3" spans="1:12" ht="23.5">
      <c r="B3" s="1" t="s">
        <v>78</v>
      </c>
      <c r="J3" s="2"/>
    </row>
    <row r="4" spans="1:12" ht="21">
      <c r="B4" s="3" t="s">
        <v>79</v>
      </c>
    </row>
    <row r="5" spans="1:12" ht="29.5" thickBot="1">
      <c r="A5" s="210" t="s">
        <v>80</v>
      </c>
      <c r="B5" s="211" t="s">
        <v>81</v>
      </c>
      <c r="C5" s="211" t="s">
        <v>82</v>
      </c>
      <c r="D5" s="5" t="s">
        <v>83</v>
      </c>
      <c r="E5" s="6" t="s">
        <v>84</v>
      </c>
      <c r="F5" s="6" t="s">
        <v>85</v>
      </c>
      <c r="G5" s="7" t="s">
        <v>86</v>
      </c>
      <c r="K5" s="105" t="s">
        <v>87</v>
      </c>
      <c r="L5" s="41"/>
    </row>
    <row r="6" spans="1:12" ht="15" thickBot="1">
      <c r="A6" s="212" t="s">
        <v>88</v>
      </c>
      <c r="B6" s="213">
        <f>ROW()</f>
        <v>6</v>
      </c>
      <c r="C6" s="214"/>
      <c r="D6" s="217" t="s">
        <v>89</v>
      </c>
      <c r="E6" s="134" t="str">
        <f>E23</f>
        <v/>
      </c>
      <c r="F6" s="135">
        <f>F23</f>
        <v>0</v>
      </c>
      <c r="G6" s="136" t="str">
        <f>G23</f>
        <v/>
      </c>
      <c r="I6" s="2"/>
      <c r="K6" s="106" t="s">
        <v>90</v>
      </c>
      <c r="L6" s="107" t="s">
        <v>91</v>
      </c>
    </row>
    <row r="7" spans="1:12" ht="15" thickBot="1">
      <c r="A7" s="213" t="s">
        <v>88</v>
      </c>
      <c r="B7" s="213">
        <f>ROW()</f>
        <v>7</v>
      </c>
      <c r="C7" s="213"/>
      <c r="D7" s="217" t="s">
        <v>92</v>
      </c>
      <c r="E7" s="134" t="str">
        <f>E39</f>
        <v/>
      </c>
      <c r="F7" s="135">
        <f>F39</f>
        <v>0</v>
      </c>
      <c r="G7" s="136" t="str">
        <f>G39</f>
        <v/>
      </c>
      <c r="I7" s="2"/>
      <c r="K7" s="108">
        <f>EOMONTH(_dy_year_ended,-12)+1</f>
        <v>45839</v>
      </c>
      <c r="L7" s="109">
        <f>-E30</f>
        <v>0</v>
      </c>
    </row>
    <row r="8" spans="1:12">
      <c r="F8" s="11"/>
      <c r="G8" s="11"/>
      <c r="H8" s="11"/>
      <c r="J8" s="2"/>
      <c r="K8" s="108">
        <f>_dy_year_ended-E84</f>
        <v>46021</v>
      </c>
      <c r="L8" s="109">
        <f>E33-E34-E35</f>
        <v>0</v>
      </c>
    </row>
    <row r="9" spans="1:12">
      <c r="J9" s="2"/>
      <c r="K9" s="108">
        <f>_dy_year_ended-E83</f>
        <v>46055</v>
      </c>
      <c r="L9" s="109">
        <f>E31</f>
        <v>0</v>
      </c>
    </row>
    <row r="10" spans="1:12" ht="21">
      <c r="B10" s="3" t="s">
        <v>93</v>
      </c>
      <c r="J10" s="2"/>
      <c r="K10" s="108">
        <f>AVERAGE(EOMONTH(_dy_year_ended,-11),EOMONTH(_dy_year_ended,-12))</f>
        <v>45853.5</v>
      </c>
      <c r="L10" s="109">
        <f>IF(_dy_year_ended=L28,-E49,IF(_dy_year_ended=N28,-F49,IF(_dy_year_ended=P28,-G49,IF(_dy_year_ended=R28,-H49,IF(_dy_year_ended=T28,-I49)))))</f>
        <v>0</v>
      </c>
    </row>
    <row r="11" spans="1:12" ht="43.5">
      <c r="A11" s="216" t="s">
        <v>80</v>
      </c>
      <c r="B11" s="216" t="s">
        <v>81</v>
      </c>
      <c r="C11" s="216" t="s">
        <v>82</v>
      </c>
      <c r="D11" s="5" t="s">
        <v>83</v>
      </c>
      <c r="E11" s="5" t="s">
        <v>94</v>
      </c>
      <c r="F11" s="5" t="s">
        <v>95</v>
      </c>
      <c r="G11" s="8" t="s">
        <v>96</v>
      </c>
      <c r="I11" s="2"/>
      <c r="K11" s="108">
        <f>AVERAGE(EOMONTH(_dy_year_ended,-10),EOMONTH(_dy_year_ended,-11))</f>
        <v>45884.5</v>
      </c>
      <c r="L11" s="109">
        <f>IF(_dy_year_ended=L28,-E50,IF(_dy_year_ended=N28,-F50,IF(_dy_year_ended=P28,-G50,IF(_dy_year_ended=R28,-H50,IF(_dy_year_ended=T28,-I50)))))</f>
        <v>0</v>
      </c>
    </row>
    <row r="12" spans="1:12">
      <c r="A12" s="215" t="s">
        <v>93</v>
      </c>
      <c r="B12" s="215">
        <f>ROW()</f>
        <v>12</v>
      </c>
      <c r="C12" s="215"/>
      <c r="D12" s="218" t="s">
        <v>97</v>
      </c>
      <c r="E12" s="47">
        <f>E45</f>
        <v>0</v>
      </c>
      <c r="F12" s="54"/>
      <c r="G12" s="47" t="str">
        <f>IF(OR(E12="",F12=""),"",E12-F12)</f>
        <v/>
      </c>
      <c r="I12" s="2"/>
      <c r="K12" s="108">
        <f>AVERAGE(EOMONTH(_dy_year_ended,-9),EOMONTH(_dy_year_ended,-10))</f>
        <v>45915</v>
      </c>
      <c r="L12" s="109">
        <f>IF(_dy_year_ended=L28,-E51,IF(_dy_year_ended=N28,-F51,IF(_dy_year_ended=P28,-G51,IF(_dy_year_ended=R28,-H51,IF(_dy_year_ended=T28,-I51)))))</f>
        <v>0</v>
      </c>
    </row>
    <row r="13" spans="1:12" ht="15" thickBot="1">
      <c r="A13" s="215" t="s">
        <v>93</v>
      </c>
      <c r="B13" s="215">
        <f>ROW()</f>
        <v>13</v>
      </c>
      <c r="C13" s="215"/>
      <c r="D13" s="220" t="s">
        <v>98</v>
      </c>
      <c r="E13" s="47">
        <f>E46</f>
        <v>0</v>
      </c>
      <c r="F13" s="54"/>
      <c r="G13" s="47" t="str">
        <f t="shared" ref="G13:G22" si="0">IF(OR(E13="",F13=""),"",E13-F13)</f>
        <v/>
      </c>
      <c r="I13" s="2"/>
      <c r="K13" s="108">
        <f>AVERAGE(EOMONTH(_dy_year_ended,-8),EOMONTH(_dy_year_ended,-9))</f>
        <v>45945.5</v>
      </c>
      <c r="L13" s="109">
        <f>IF(_dy_year_ended=L28,-E52,IF(_dy_year_ended=N28,-F52,IF(_dy_year_ended=P28,-G52,IF(_dy_year_ended=R28,-H52,IF(_dy_year_ended=T28,-I52)))))</f>
        <v>0</v>
      </c>
    </row>
    <row r="14" spans="1:12" ht="15" thickBot="1">
      <c r="A14" s="215" t="s">
        <v>93</v>
      </c>
      <c r="B14" s="215">
        <f>ROW()</f>
        <v>14</v>
      </c>
      <c r="C14" s="215"/>
      <c r="D14" s="219" t="s">
        <v>99</v>
      </c>
      <c r="E14" s="137">
        <f>E12-E13</f>
        <v>0</v>
      </c>
      <c r="F14" s="137">
        <f>F12-F13</f>
        <v>0</v>
      </c>
      <c r="G14" s="138">
        <f>IF(OR(E14="",F14=""),"",E14-F14)</f>
        <v>0</v>
      </c>
      <c r="I14" s="2"/>
      <c r="K14" s="108">
        <f>AVERAGE(EOMONTH(_dy_year_ended,-7),EOMONTH(_dy_year_ended,-8))</f>
        <v>45976</v>
      </c>
      <c r="L14" s="109">
        <f>IF(_dy_year_ended=L28,-E53,IF(_dy_year_ended=N28,-F53,IF(_dy_year_ended=P28,-G53,IF(_dy_year_ended=R28,-H53,IF(_dy_year_ended=T28,-I53)))))</f>
        <v>0</v>
      </c>
    </row>
    <row r="15" spans="1:12">
      <c r="A15" s="215" t="s">
        <v>93</v>
      </c>
      <c r="B15" s="215">
        <f>ROW()</f>
        <v>15</v>
      </c>
      <c r="C15" s="215" t="s">
        <v>100</v>
      </c>
      <c r="D15" s="220" t="s">
        <v>101</v>
      </c>
      <c r="E15" s="47">
        <f>IF(_dy_year_ended=L28,E48,IF(_dy_year_ended=N28,E48+F48,IF(_dy_year_ended=P28,E48+F48+G48,IF(_dy_year_ended=R28,E48+F48+G48+H48,IF(_dy_year_ended=T28,E48+F48+G48+H48+I48)))))</f>
        <v>0</v>
      </c>
      <c r="F15" s="54"/>
      <c r="G15" s="47" t="str">
        <f t="shared" si="0"/>
        <v/>
      </c>
      <c r="I15" s="2"/>
      <c r="K15" s="108">
        <f>AVERAGE(EOMONTH(_dy_year_ended,-6),EOMONTH(_dy_year_ended,-7))</f>
        <v>46006.5</v>
      </c>
      <c r="L15" s="109">
        <f>IF(_dy_year_ended=L28,-E54,IF(_dy_year_ended=N28,-F54,IF(_dy_year_ended=P28,-G54,IF(_dy_year_ended=R28,-H54,IF(_dy_year_ended=T28,-I54)))))</f>
        <v>0</v>
      </c>
    </row>
    <row r="16" spans="1:12">
      <c r="A16" s="215" t="s">
        <v>93</v>
      </c>
      <c r="B16" s="215">
        <f>ROW()</f>
        <v>16</v>
      </c>
      <c r="C16" s="215" t="s">
        <v>102</v>
      </c>
      <c r="D16" s="220" t="s">
        <v>103</v>
      </c>
      <c r="E16" s="47">
        <f>IF(_dy_year_ended=L28,SUM(E49:E60),IF(_dy_year_ended=N28,SUM(E49:E60)+SUM(F49:F60),IF(_dy_year_ended=P28,SUM(E49:E60)+SUM(F49:F60)+SUM(G49:G60),IF(_dy_year_ended=R28,SUM(E49:E60)+SUM(F49:F60)+SUM(G49:G60)+SUM(H49:H60),IF(_dy_year_ended=T28,SUM(E49:E60)+SUM(F49:F60)+SUM(G49:G60)+SUM(H49:H60)+SUM(I49:I60))))))</f>
        <v>0</v>
      </c>
      <c r="F16" s="54"/>
      <c r="G16" s="47" t="str">
        <f t="shared" si="0"/>
        <v/>
      </c>
      <c r="I16" s="2"/>
      <c r="K16" s="108">
        <f>AVERAGE(EOMONTH(_dy_year_ended,-5),EOMONTH(_dy_year_ended,-6))</f>
        <v>46037.5</v>
      </c>
      <c r="L16" s="109">
        <f>IF(_dy_year_ended=L28,-E55,IF(_dy_year_ended=N28,-F55,IF(_dy_year_ended=P28,-G55,IF(_dy_year_ended=R28,-H55,IF(_dy_year_ended=T28,-I55)))))</f>
        <v>0</v>
      </c>
    </row>
    <row r="17" spans="1:21">
      <c r="A17" s="215" t="s">
        <v>93</v>
      </c>
      <c r="B17" s="215">
        <f>ROW()</f>
        <v>17</v>
      </c>
      <c r="C17" s="215" t="s">
        <v>100</v>
      </c>
      <c r="D17" s="220" t="s">
        <v>104</v>
      </c>
      <c r="E17" s="47">
        <f>IF(_dy_year_ended=L28,E61,IF(_dy_year_ended=N28,E61+F61,IF(_dy_year_ended=P28,E61+F61+G61,IF(_dy_year_ended=R28,E61+F61+G61+H61,IF(_dy_year_ended=T28,E61+F61+G61+H61+I61)))))</f>
        <v>0</v>
      </c>
      <c r="F17" s="54"/>
      <c r="G17" s="47" t="str">
        <f t="shared" si="0"/>
        <v/>
      </c>
      <c r="I17" s="2"/>
      <c r="K17" s="108">
        <f>AVERAGE(EOMONTH(_dy_year_ended,-4),EOMONTH(_dy_year_ended,-5))</f>
        <v>46067</v>
      </c>
      <c r="L17" s="109">
        <f>IF(_dy_year_ended=L28,-E56,IF(_dy_year_ended=N28,-F56,IF(_dy_year_ended=P28,-G56,IF(_dy_year_ended=R28,-H56,IF(_dy_year_ended=T28,-I56)))))</f>
        <v>0</v>
      </c>
    </row>
    <row r="18" spans="1:21">
      <c r="A18" s="215" t="s">
        <v>93</v>
      </c>
      <c r="B18" s="215">
        <f>ROW()</f>
        <v>18</v>
      </c>
      <c r="C18" s="215" t="s">
        <v>102</v>
      </c>
      <c r="D18" s="220" t="s">
        <v>105</v>
      </c>
      <c r="E18" s="47">
        <f>IF(_dy_year_ended=L28,E62,IF(_dy_year_ended=N28,E62+F62,IF(_dy_year_ended=P28,E62+F62+G62,IF(_dy_year_ended=R28,E62+F62+G62+H62,IF(_dy_year_ended=T28,E62+F62+G62+H62+I62)))))</f>
        <v>0</v>
      </c>
      <c r="F18" s="54"/>
      <c r="G18" s="47" t="str">
        <f t="shared" si="0"/>
        <v/>
      </c>
      <c r="I18" s="2"/>
      <c r="K18" s="108">
        <f>AVERAGE(EOMONTH(_dy_year_ended,-3),EOMONTH(_dy_year_ended,-4))</f>
        <v>46096.5</v>
      </c>
      <c r="L18" s="109">
        <f>IF(_dy_year_ended=L28,-E57,IF(_dy_year_ended=N28,-F57,IF(_dy_year_ended=P28,-G57,IF(_dy_year_ended=R28,-H57,IF(_dy_year_ended=T28,-I57)))))</f>
        <v>0</v>
      </c>
    </row>
    <row r="19" spans="1:21">
      <c r="A19" s="215" t="s">
        <v>93</v>
      </c>
      <c r="B19" s="215">
        <f>ROW()</f>
        <v>19</v>
      </c>
      <c r="C19" s="215" t="s">
        <v>102</v>
      </c>
      <c r="D19" s="220" t="s">
        <v>106</v>
      </c>
      <c r="E19" s="47">
        <f>IF(_dy_year_ended=L28,E63,IF(_dy_year_ended=N28,E63+F63,IF(_dy_year_ended=P28,E63+F63+G63,IF(_dy_year_ended=R28,E63+F63+G63+H63,IF(_dy_year_ended=T28,E63+F63+G63+H63+I63)))))</f>
        <v>0</v>
      </c>
      <c r="F19" s="54"/>
      <c r="G19" s="47" t="str">
        <f t="shared" si="0"/>
        <v/>
      </c>
      <c r="I19" s="2"/>
      <c r="K19" s="108">
        <f>AVERAGE(EOMONTH(_dy_year_ended,-2),EOMONTH(_dy_year_ended,-3))</f>
        <v>46127</v>
      </c>
      <c r="L19" s="109">
        <f>IF(_dy_year_ended=L28,-E58,IF(_dy_year_ended=N28,-F58,IF(_dy_year_ended=P28,-G58,IF(_dy_year_ended=R28,-H58,IF(_dy_year_ended=T28,-I58)))))</f>
        <v>0</v>
      </c>
    </row>
    <row r="20" spans="1:21">
      <c r="A20" s="215" t="s">
        <v>93</v>
      </c>
      <c r="B20" s="215">
        <f>ROW()</f>
        <v>20</v>
      </c>
      <c r="C20" s="215"/>
      <c r="D20" s="220" t="s">
        <v>107</v>
      </c>
      <c r="E20" s="47">
        <f>IF(_dy_year_ended=L28,E64,IF(_dy_year_ended=N28,F64,IF(_dy_year_ended=P28,G64,IF(_dy_year_ended=R28,H64,IF(_dy_year_ended=T28,I64)))))</f>
        <v>0</v>
      </c>
      <c r="F20" s="54"/>
      <c r="G20" s="47" t="str">
        <f t="shared" si="0"/>
        <v/>
      </c>
      <c r="I20" s="2"/>
      <c r="K20" s="108">
        <f>AVERAGE(EOMONTH(_dy_year_ended,-1),EOMONTH(_dy_year_ended,-2))</f>
        <v>46157.5</v>
      </c>
      <c r="L20" s="109">
        <f>IF(_dy_year_ended=L28,-E59,IF(_dy_year_ended=N28,-F59,IF(_dy_year_ended=P28,-G59,IF(_dy_year_ended=R28,-H59,IF(_dy_year_ended=T28,-I59)))))</f>
        <v>0</v>
      </c>
    </row>
    <row r="21" spans="1:21" ht="15" thickBot="1">
      <c r="A21" s="215" t="s">
        <v>93</v>
      </c>
      <c r="B21" s="215">
        <f>ROW()</f>
        <v>21</v>
      </c>
      <c r="C21" s="215"/>
      <c r="D21" s="220" t="s">
        <v>108</v>
      </c>
      <c r="E21" s="47">
        <f>IF(_dy_year_ended=L28,E65,IF(_dy_year_ended=N28,F65,IF(_dy_year_ended=P28,G65,IF(_dy_year_ended=R28,H65,IF(_dy_year_ended=T28,I65)))))</f>
        <v>0</v>
      </c>
      <c r="F21" s="54"/>
      <c r="G21" s="47" t="str">
        <f t="shared" si="0"/>
        <v/>
      </c>
      <c r="I21" s="2"/>
      <c r="K21" s="108">
        <f>AVERAGE(_dy_year_ended,EOMONTH(_dy_year_ended,-1))</f>
        <v>46188</v>
      </c>
      <c r="L21" s="109">
        <f>IF(_dy_year_ended=L28,-E60,IF(_dy_year_ended=N28,-F60,IF(_dy_year_ended=P28,-G60,IF(_dy_year_ended=R28,-H60,IF(_dy_year_ended=T28,-I60)))))</f>
        <v>0</v>
      </c>
    </row>
    <row r="22" spans="1:21" ht="15" thickBot="1">
      <c r="A22" s="215" t="s">
        <v>93</v>
      </c>
      <c r="B22" s="215">
        <f>ROW()</f>
        <v>22</v>
      </c>
      <c r="C22" s="215"/>
      <c r="D22" s="219" t="s">
        <v>109</v>
      </c>
      <c r="E22" s="137">
        <f>E20-E21</f>
        <v>0</v>
      </c>
      <c r="F22" s="137">
        <f>F20-F21</f>
        <v>0</v>
      </c>
      <c r="G22" s="138">
        <f t="shared" si="0"/>
        <v>0</v>
      </c>
      <c r="I22" s="2"/>
      <c r="K22" s="108">
        <f>_dy_year_ended</f>
        <v>46203</v>
      </c>
      <c r="L22" s="109">
        <f>IF(_dy_year_ended=L28,E66,IF(_dy_year_ended=N28,F66,IF(_dy_year_ended=P28,G66,IF(_dy_year_ended=R28,H66,IF(_dy_year_ended=T28,I66)))))</f>
        <v>0</v>
      </c>
    </row>
    <row r="23" spans="1:21" ht="15" thickBot="1">
      <c r="A23" s="215" t="s">
        <v>93</v>
      </c>
      <c r="B23" s="215">
        <f>ROW()</f>
        <v>23</v>
      </c>
      <c r="C23" s="215"/>
      <c r="D23" s="219" t="s">
        <v>110</v>
      </c>
      <c r="E23" s="134" t="str">
        <f>IF(_dy_year_ended=L28,E67,IF(_dy_year_ended=N28,F67,IF(_dy_year_ended=P28,G67,IF(_dy_year_ended=R28,H67,IF(_dy_year_ended=T28,I67)))))</f>
        <v/>
      </c>
      <c r="F23" s="139"/>
      <c r="G23" s="140" t="str">
        <f>IF(OR(E23="",F23=""),"",E23-F23)</f>
        <v/>
      </c>
      <c r="I23" s="2"/>
      <c r="K23" s="110" t="s">
        <v>111</v>
      </c>
      <c r="L23" s="111" t="str">
        <f>IFERROR(XIRR(L7:L22,K7:K22,7%),"")</f>
        <v/>
      </c>
    </row>
    <row r="24" spans="1:21">
      <c r="F24" s="11"/>
      <c r="G24" s="12"/>
      <c r="H24" s="11"/>
      <c r="J24" s="2"/>
    </row>
    <row r="25" spans="1:21">
      <c r="F25" s="11"/>
      <c r="G25" s="12"/>
      <c r="H25" s="11"/>
      <c r="J25" s="2"/>
    </row>
    <row r="26" spans="1:21" ht="21">
      <c r="B26" s="3" t="s">
        <v>112</v>
      </c>
      <c r="F26" s="11"/>
      <c r="G26" s="12"/>
      <c r="H26" s="11"/>
      <c r="J26" s="2"/>
    </row>
    <row r="27" spans="1:21" ht="58">
      <c r="A27" s="216" t="s">
        <v>80</v>
      </c>
      <c r="B27" s="216" t="s">
        <v>81</v>
      </c>
      <c r="C27" s="216" t="s">
        <v>82</v>
      </c>
      <c r="D27" s="5" t="s">
        <v>83</v>
      </c>
      <c r="E27" s="6" t="s">
        <v>113</v>
      </c>
      <c r="F27" s="6" t="s">
        <v>114</v>
      </c>
      <c r="G27" s="8" t="s">
        <v>96</v>
      </c>
      <c r="I27" s="2"/>
      <c r="K27" s="104" t="s">
        <v>115</v>
      </c>
      <c r="L27" s="112"/>
      <c r="M27" s="113"/>
      <c r="N27" s="113"/>
      <c r="O27" s="113"/>
      <c r="P27" s="113"/>
      <c r="Q27" s="113"/>
      <c r="R27" s="113"/>
      <c r="S27" s="113"/>
      <c r="T27" s="113"/>
      <c r="U27" s="114"/>
    </row>
    <row r="28" spans="1:21">
      <c r="A28" s="215" t="s">
        <v>112</v>
      </c>
      <c r="B28" s="215">
        <f>ROW()</f>
        <v>28</v>
      </c>
      <c r="C28" s="215"/>
      <c r="D28" s="220" t="s">
        <v>97</v>
      </c>
      <c r="E28" s="47">
        <f>'S4.RAB Roll-Forward'!E6</f>
        <v>0</v>
      </c>
      <c r="F28" s="47">
        <f>'S4.RAB Roll-Forward'!F6</f>
        <v>0</v>
      </c>
      <c r="G28" s="47">
        <f>IF(OR(E28="",F28=""),"",E28-F28)</f>
        <v>0</v>
      </c>
      <c r="I28" s="2"/>
      <c r="K28" s="115"/>
      <c r="L28" s="116">
        <f>IF(ISNUMBER(_pp_starting_year),DATE(YEAR(_pp_starting_year),MONTH(_pp_starting_year),DAY(_pp_starting_year)),"")</f>
        <v>45107</v>
      </c>
      <c r="M28" s="117"/>
      <c r="N28" s="118">
        <f>IF(ISNUMBER(_pp_starting_year),DATE(YEAR(_pp_starting_year)+1,MONTH(_pp_starting_year),DAY(_pp_starting_year)),"")</f>
        <v>45473</v>
      </c>
      <c r="O28" s="117"/>
      <c r="P28" s="118">
        <f>IF(ISNUMBER(_pp_starting_year),DATE(YEAR(_pp_starting_year)+2,MONTH(_pp_starting_year),DAY(_pp_starting_year)),"")</f>
        <v>45838</v>
      </c>
      <c r="Q28" s="117"/>
      <c r="R28" s="118">
        <f>IF(ISNUMBER(_pp_starting_year),DATE(YEAR(_pp_starting_year)+3,MONTH(_pp_starting_year),DAY(_pp_starting_year)),"")</f>
        <v>46203</v>
      </c>
      <c r="S28" s="117"/>
      <c r="T28" s="118">
        <f>IF(ISNUMBER(_pp_starting_year),DATE(YEAR(_pp_starting_year)+4,MONTH(_pp_starting_year),DAY(_pp_starting_year)),"")</f>
        <v>46568</v>
      </c>
      <c r="U28" s="119"/>
    </row>
    <row r="29" spans="1:21" ht="15" thickBot="1">
      <c r="A29" s="215" t="s">
        <v>112</v>
      </c>
      <c r="B29" s="215">
        <f>ROW()</f>
        <v>29</v>
      </c>
      <c r="C29" s="215"/>
      <c r="D29" s="220" t="s">
        <v>98</v>
      </c>
      <c r="E29" s="47">
        <f>E72</f>
        <v>0</v>
      </c>
      <c r="F29" s="47">
        <f>F72</f>
        <v>0</v>
      </c>
      <c r="G29" s="47">
        <f t="shared" ref="G29:G39" si="1">IF(OR(E29="",F29=""),"",E29-F29)</f>
        <v>0</v>
      </c>
      <c r="I29" s="2"/>
      <c r="K29" s="115"/>
      <c r="L29" s="117" t="s">
        <v>90</v>
      </c>
      <c r="M29" s="117" t="s">
        <v>91</v>
      </c>
      <c r="N29" s="117" t="s">
        <v>90</v>
      </c>
      <c r="O29" s="117" t="s">
        <v>91</v>
      </c>
      <c r="P29" s="117" t="s">
        <v>90</v>
      </c>
      <c r="Q29" s="117" t="s">
        <v>91</v>
      </c>
      <c r="R29" s="117" t="s">
        <v>90</v>
      </c>
      <c r="S29" s="117" t="s">
        <v>91</v>
      </c>
      <c r="T29" s="117" t="s">
        <v>90</v>
      </c>
      <c r="U29" s="120" t="s">
        <v>91</v>
      </c>
    </row>
    <row r="30" spans="1:21" ht="15" thickBot="1">
      <c r="A30" s="215" t="s">
        <v>112</v>
      </c>
      <c r="B30" s="215">
        <f>ROW()</f>
        <v>30</v>
      </c>
      <c r="C30" s="215"/>
      <c r="D30" s="219" t="s">
        <v>99</v>
      </c>
      <c r="E30" s="138">
        <f>E28-E29</f>
        <v>0</v>
      </c>
      <c r="F30" s="138">
        <f>F28-F29</f>
        <v>0</v>
      </c>
      <c r="G30" s="138">
        <f t="shared" si="1"/>
        <v>0</v>
      </c>
      <c r="I30" s="2"/>
      <c r="K30" s="115"/>
      <c r="L30" s="121">
        <f>EOMONTH(L28,-12)+1</f>
        <v>44743</v>
      </c>
      <c r="M30" s="122">
        <f>-E47</f>
        <v>0</v>
      </c>
      <c r="N30" s="121">
        <f t="shared" ref="N30:U30" si="2">L30</f>
        <v>44743</v>
      </c>
      <c r="O30" s="122">
        <f t="shared" si="2"/>
        <v>0</v>
      </c>
      <c r="P30" s="121">
        <f t="shared" si="2"/>
        <v>44743</v>
      </c>
      <c r="Q30" s="122">
        <f t="shared" si="2"/>
        <v>0</v>
      </c>
      <c r="R30" s="121">
        <f t="shared" si="2"/>
        <v>44743</v>
      </c>
      <c r="S30" s="122">
        <f t="shared" si="2"/>
        <v>0</v>
      </c>
      <c r="T30" s="121">
        <f t="shared" si="2"/>
        <v>44743</v>
      </c>
      <c r="U30" s="109">
        <f t="shared" si="2"/>
        <v>0</v>
      </c>
    </row>
    <row r="31" spans="1:21">
      <c r="A31" s="215" t="s">
        <v>112</v>
      </c>
      <c r="B31" s="215">
        <f>ROW()</f>
        <v>31</v>
      </c>
      <c r="C31" s="215" t="s">
        <v>100</v>
      </c>
      <c r="D31" s="220" t="s">
        <v>101</v>
      </c>
      <c r="E31" s="47">
        <f>'S2.Regulatory Profit'!F15</f>
        <v>0</v>
      </c>
      <c r="F31" s="47">
        <f>'S2.Regulatory Profit'!G15</f>
        <v>0</v>
      </c>
      <c r="G31" s="47">
        <f t="shared" si="1"/>
        <v>0</v>
      </c>
      <c r="I31" s="2"/>
      <c r="K31" s="115"/>
      <c r="L31" s="121">
        <f>L28-E84</f>
        <v>44925</v>
      </c>
      <c r="M31" s="122">
        <f>E61-E62-E63</f>
        <v>0</v>
      </c>
      <c r="N31" s="121">
        <f t="shared" ref="N31:N43" si="3">L31</f>
        <v>44925</v>
      </c>
      <c r="O31" s="122">
        <f t="shared" ref="O31:O44" si="4">M31</f>
        <v>0</v>
      </c>
      <c r="P31" s="121">
        <f t="shared" ref="P31:P58" si="5">N31</f>
        <v>44925</v>
      </c>
      <c r="Q31" s="122">
        <f t="shared" ref="Q31:Q58" si="6">O31</f>
        <v>0</v>
      </c>
      <c r="R31" s="121">
        <f t="shared" ref="R31:R72" si="7">P31</f>
        <v>44925</v>
      </c>
      <c r="S31" s="122">
        <f t="shared" ref="S31:S72" si="8">Q31</f>
        <v>0</v>
      </c>
      <c r="T31" s="121">
        <f t="shared" ref="T31:T86" si="9">R31</f>
        <v>44925</v>
      </c>
      <c r="U31" s="109">
        <f t="shared" ref="U31:U85" si="10">S31</f>
        <v>0</v>
      </c>
    </row>
    <row r="32" spans="1:21">
      <c r="A32" s="215" t="s">
        <v>112</v>
      </c>
      <c r="B32" s="215">
        <f>ROW()</f>
        <v>32</v>
      </c>
      <c r="C32" s="215" t="s">
        <v>102</v>
      </c>
      <c r="D32" s="220" t="s">
        <v>103</v>
      </c>
      <c r="E32" s="47">
        <f>'S4.RAB Roll-Forward'!E9</f>
        <v>0</v>
      </c>
      <c r="F32" s="47">
        <f>'S4.RAB Roll-Forward'!F9</f>
        <v>0</v>
      </c>
      <c r="G32" s="47">
        <f t="shared" si="1"/>
        <v>0</v>
      </c>
      <c r="I32" s="2"/>
      <c r="K32" s="115"/>
      <c r="L32" s="121">
        <f>L28-E83</f>
        <v>44959</v>
      </c>
      <c r="M32" s="122">
        <f>E48</f>
        <v>0</v>
      </c>
      <c r="N32" s="121">
        <f t="shared" si="3"/>
        <v>44959</v>
      </c>
      <c r="O32" s="122">
        <f t="shared" si="4"/>
        <v>0</v>
      </c>
      <c r="P32" s="121">
        <f t="shared" si="5"/>
        <v>44959</v>
      </c>
      <c r="Q32" s="122">
        <f t="shared" si="6"/>
        <v>0</v>
      </c>
      <c r="R32" s="121">
        <f t="shared" si="7"/>
        <v>44959</v>
      </c>
      <c r="S32" s="122">
        <f t="shared" si="8"/>
        <v>0</v>
      </c>
      <c r="T32" s="121">
        <f t="shared" si="9"/>
        <v>44959</v>
      </c>
      <c r="U32" s="109">
        <f t="shared" si="10"/>
        <v>0</v>
      </c>
    </row>
    <row r="33" spans="1:21">
      <c r="A33" s="215" t="s">
        <v>112</v>
      </c>
      <c r="B33" s="215">
        <f>ROW()</f>
        <v>33</v>
      </c>
      <c r="C33" s="215" t="s">
        <v>100</v>
      </c>
      <c r="D33" s="220" t="s">
        <v>104</v>
      </c>
      <c r="E33" s="54"/>
      <c r="F33" s="54"/>
      <c r="G33" s="47" t="str">
        <f t="shared" si="1"/>
        <v/>
      </c>
      <c r="I33" s="2"/>
      <c r="K33" s="115"/>
      <c r="L33" s="121">
        <f>AVERAGE(EOMONTH(L28,-11),EOMONTH(L28,-12))</f>
        <v>44757.5</v>
      </c>
      <c r="M33" s="122">
        <f t="shared" ref="M33:M39" si="11">-E49</f>
        <v>0</v>
      </c>
      <c r="N33" s="121">
        <f t="shared" si="3"/>
        <v>44757.5</v>
      </c>
      <c r="O33" s="122">
        <f t="shared" si="4"/>
        <v>0</v>
      </c>
      <c r="P33" s="121">
        <f t="shared" si="5"/>
        <v>44757.5</v>
      </c>
      <c r="Q33" s="122">
        <f t="shared" si="6"/>
        <v>0</v>
      </c>
      <c r="R33" s="121">
        <f t="shared" si="7"/>
        <v>44757.5</v>
      </c>
      <c r="S33" s="122">
        <f t="shared" si="8"/>
        <v>0</v>
      </c>
      <c r="T33" s="121">
        <f t="shared" si="9"/>
        <v>44757.5</v>
      </c>
      <c r="U33" s="109">
        <f t="shared" si="10"/>
        <v>0</v>
      </c>
    </row>
    <row r="34" spans="1:21">
      <c r="A34" s="215" t="s">
        <v>112</v>
      </c>
      <c r="B34" s="215">
        <f>ROW()</f>
        <v>34</v>
      </c>
      <c r="C34" s="215" t="s">
        <v>102</v>
      </c>
      <c r="D34" s="220" t="s">
        <v>105</v>
      </c>
      <c r="E34" s="47">
        <f>'S2.Regulatory Profit'!F19</f>
        <v>0</v>
      </c>
      <c r="F34" s="47">
        <f>'S2.Regulatory Profit'!G19</f>
        <v>0</v>
      </c>
      <c r="G34" s="47">
        <f t="shared" si="1"/>
        <v>0</v>
      </c>
      <c r="I34" s="2"/>
      <c r="K34" s="115"/>
      <c r="L34" s="121">
        <f>AVERAGE(EOMONTH(L28,-10),EOMONTH(L28,-11))</f>
        <v>44788.5</v>
      </c>
      <c r="M34" s="122">
        <f t="shared" si="11"/>
        <v>0</v>
      </c>
      <c r="N34" s="121">
        <f t="shared" si="3"/>
        <v>44788.5</v>
      </c>
      <c r="O34" s="122">
        <f t="shared" si="4"/>
        <v>0</v>
      </c>
      <c r="P34" s="121">
        <f t="shared" si="5"/>
        <v>44788.5</v>
      </c>
      <c r="Q34" s="122">
        <f t="shared" si="6"/>
        <v>0</v>
      </c>
      <c r="R34" s="121">
        <f t="shared" si="7"/>
        <v>44788.5</v>
      </c>
      <c r="S34" s="122">
        <f t="shared" si="8"/>
        <v>0</v>
      </c>
      <c r="T34" s="121">
        <f t="shared" si="9"/>
        <v>44788.5</v>
      </c>
      <c r="U34" s="109">
        <f t="shared" si="10"/>
        <v>0</v>
      </c>
    </row>
    <row r="35" spans="1:21">
      <c r="A35" s="215" t="s">
        <v>112</v>
      </c>
      <c r="B35" s="215">
        <f>ROW()</f>
        <v>35</v>
      </c>
      <c r="C35" s="215" t="s">
        <v>102</v>
      </c>
      <c r="D35" s="220" t="s">
        <v>106</v>
      </c>
      <c r="E35" s="47">
        <f>'S3.Tax Allowance'!E23</f>
        <v>0</v>
      </c>
      <c r="F35" s="54"/>
      <c r="G35" s="47" t="str">
        <f t="shared" si="1"/>
        <v/>
      </c>
      <c r="I35" s="2"/>
      <c r="K35" s="115"/>
      <c r="L35" s="121">
        <f>AVERAGE(EOMONTH(L28,-9),EOMONTH(L28,-10))</f>
        <v>44819</v>
      </c>
      <c r="M35" s="122">
        <f t="shared" si="11"/>
        <v>0</v>
      </c>
      <c r="N35" s="121">
        <f t="shared" si="3"/>
        <v>44819</v>
      </c>
      <c r="O35" s="122">
        <f t="shared" si="4"/>
        <v>0</v>
      </c>
      <c r="P35" s="121">
        <f t="shared" si="5"/>
        <v>44819</v>
      </c>
      <c r="Q35" s="122">
        <f t="shared" si="6"/>
        <v>0</v>
      </c>
      <c r="R35" s="121">
        <f t="shared" si="7"/>
        <v>44819</v>
      </c>
      <c r="S35" s="122">
        <f t="shared" si="8"/>
        <v>0</v>
      </c>
      <c r="T35" s="121">
        <f t="shared" si="9"/>
        <v>44819</v>
      </c>
      <c r="U35" s="109">
        <f t="shared" si="10"/>
        <v>0</v>
      </c>
    </row>
    <row r="36" spans="1:21">
      <c r="A36" s="215" t="s">
        <v>112</v>
      </c>
      <c r="B36" s="215">
        <f>ROW()</f>
        <v>36</v>
      </c>
      <c r="C36" s="215"/>
      <c r="D36" s="220" t="s">
        <v>107</v>
      </c>
      <c r="E36" s="47">
        <f>'S4.RAB Roll-Forward'!E13</f>
        <v>0</v>
      </c>
      <c r="F36" s="47">
        <f>'S4.RAB Roll-Forward'!F13</f>
        <v>0</v>
      </c>
      <c r="G36" s="47">
        <f>IF(OR(E36="",F36=""),"",E36-F36)</f>
        <v>0</v>
      </c>
      <c r="I36" s="2"/>
      <c r="K36" s="115"/>
      <c r="L36" s="121">
        <f>AVERAGE(EOMONTH(L28,-8),EOMONTH(L28,-9))</f>
        <v>44849.5</v>
      </c>
      <c r="M36" s="122">
        <f t="shared" si="11"/>
        <v>0</v>
      </c>
      <c r="N36" s="121">
        <f t="shared" si="3"/>
        <v>44849.5</v>
      </c>
      <c r="O36" s="122">
        <f t="shared" si="4"/>
        <v>0</v>
      </c>
      <c r="P36" s="121">
        <f t="shared" si="5"/>
        <v>44849.5</v>
      </c>
      <c r="Q36" s="122">
        <f t="shared" si="6"/>
        <v>0</v>
      </c>
      <c r="R36" s="121">
        <f t="shared" si="7"/>
        <v>44849.5</v>
      </c>
      <c r="S36" s="122">
        <f t="shared" si="8"/>
        <v>0</v>
      </c>
      <c r="T36" s="121">
        <f t="shared" si="9"/>
        <v>44849.5</v>
      </c>
      <c r="U36" s="109">
        <f t="shared" si="10"/>
        <v>0</v>
      </c>
    </row>
    <row r="37" spans="1:21" ht="15" thickBot="1">
      <c r="A37" s="215" t="s">
        <v>112</v>
      </c>
      <c r="B37" s="215">
        <f>ROW()</f>
        <v>37</v>
      </c>
      <c r="C37" s="215"/>
      <c r="D37" s="220" t="s">
        <v>108</v>
      </c>
      <c r="E37" s="47">
        <f>E77</f>
        <v>0</v>
      </c>
      <c r="F37" s="47">
        <f>F77</f>
        <v>0</v>
      </c>
      <c r="G37" s="47">
        <f t="shared" si="1"/>
        <v>0</v>
      </c>
      <c r="I37" s="2"/>
      <c r="K37" s="115"/>
      <c r="L37" s="121">
        <f>AVERAGE(EOMONTH(L28,-7),EOMONTH(L28,-8))</f>
        <v>44880</v>
      </c>
      <c r="M37" s="122">
        <f t="shared" si="11"/>
        <v>0</v>
      </c>
      <c r="N37" s="121">
        <f t="shared" si="3"/>
        <v>44880</v>
      </c>
      <c r="O37" s="122">
        <f t="shared" si="4"/>
        <v>0</v>
      </c>
      <c r="P37" s="121">
        <f t="shared" si="5"/>
        <v>44880</v>
      </c>
      <c r="Q37" s="122">
        <f t="shared" si="6"/>
        <v>0</v>
      </c>
      <c r="R37" s="121">
        <f t="shared" si="7"/>
        <v>44880</v>
      </c>
      <c r="S37" s="122">
        <f t="shared" si="8"/>
        <v>0</v>
      </c>
      <c r="T37" s="121">
        <f t="shared" si="9"/>
        <v>44880</v>
      </c>
      <c r="U37" s="109">
        <f t="shared" si="10"/>
        <v>0</v>
      </c>
    </row>
    <row r="38" spans="1:21" ht="15" thickBot="1">
      <c r="A38" s="215" t="s">
        <v>112</v>
      </c>
      <c r="B38" s="215">
        <f>ROW()</f>
        <v>38</v>
      </c>
      <c r="C38" s="215"/>
      <c r="D38" s="219" t="s">
        <v>109</v>
      </c>
      <c r="E38" s="138">
        <f>E36-E37</f>
        <v>0</v>
      </c>
      <c r="F38" s="138">
        <f>F36-F37</f>
        <v>0</v>
      </c>
      <c r="G38" s="138">
        <f t="shared" si="1"/>
        <v>0</v>
      </c>
      <c r="I38" s="2"/>
      <c r="K38" s="115"/>
      <c r="L38" s="121">
        <f>AVERAGE(EOMONTH(L28,-6),EOMONTH(L28,-7))</f>
        <v>44910.5</v>
      </c>
      <c r="M38" s="122">
        <f t="shared" si="11"/>
        <v>0</v>
      </c>
      <c r="N38" s="121">
        <f t="shared" si="3"/>
        <v>44910.5</v>
      </c>
      <c r="O38" s="122">
        <f t="shared" si="4"/>
        <v>0</v>
      </c>
      <c r="P38" s="121">
        <f t="shared" si="5"/>
        <v>44910.5</v>
      </c>
      <c r="Q38" s="122">
        <f t="shared" si="6"/>
        <v>0</v>
      </c>
      <c r="R38" s="121">
        <f t="shared" si="7"/>
        <v>44910.5</v>
      </c>
      <c r="S38" s="122">
        <f t="shared" si="8"/>
        <v>0</v>
      </c>
      <c r="T38" s="121">
        <f t="shared" si="9"/>
        <v>44910.5</v>
      </c>
      <c r="U38" s="109">
        <f t="shared" si="10"/>
        <v>0</v>
      </c>
    </row>
    <row r="39" spans="1:21" ht="15" thickBot="1">
      <c r="A39" s="215" t="s">
        <v>112</v>
      </c>
      <c r="B39" s="215">
        <f>ROW()</f>
        <v>39</v>
      </c>
      <c r="C39" s="215"/>
      <c r="D39" s="42" t="s">
        <v>116</v>
      </c>
      <c r="E39" s="140" t="str">
        <f>L23</f>
        <v/>
      </c>
      <c r="F39" s="141"/>
      <c r="G39" s="140" t="str">
        <f t="shared" si="1"/>
        <v/>
      </c>
      <c r="I39" s="2"/>
      <c r="K39" s="115"/>
      <c r="L39" s="121">
        <f>AVERAGE(EOMONTH(L28,-5),EOMONTH(L28,-6))</f>
        <v>44941.5</v>
      </c>
      <c r="M39" s="122">
        <f t="shared" si="11"/>
        <v>0</v>
      </c>
      <c r="N39" s="121">
        <f t="shared" si="3"/>
        <v>44941.5</v>
      </c>
      <c r="O39" s="122">
        <f t="shared" si="4"/>
        <v>0</v>
      </c>
      <c r="P39" s="121">
        <f t="shared" si="5"/>
        <v>44941.5</v>
      </c>
      <c r="Q39" s="122">
        <f t="shared" si="6"/>
        <v>0</v>
      </c>
      <c r="R39" s="121">
        <f t="shared" si="7"/>
        <v>44941.5</v>
      </c>
      <c r="S39" s="122">
        <f t="shared" si="8"/>
        <v>0</v>
      </c>
      <c r="T39" s="121">
        <f t="shared" si="9"/>
        <v>44941.5</v>
      </c>
      <c r="U39" s="109">
        <f t="shared" si="10"/>
        <v>0</v>
      </c>
    </row>
    <row r="40" spans="1:21">
      <c r="B40" s="46" t="s">
        <v>117</v>
      </c>
      <c r="E40" s="37"/>
      <c r="F40" s="37"/>
      <c r="G40" s="37" t="str">
        <f>IF(OR(E40="",F40=""),"",E40-F40)</f>
        <v/>
      </c>
      <c r="H40" s="37"/>
      <c r="J40" s="2"/>
      <c r="K40" s="115"/>
      <c r="L40" s="121">
        <f>AVERAGE(EOMONTH(L28,-4),EOMONTH(L28,-5))</f>
        <v>44971</v>
      </c>
      <c r="M40" s="122">
        <f t="shared" ref="M40:M43" si="12">-E56</f>
        <v>0</v>
      </c>
      <c r="N40" s="121">
        <f t="shared" si="3"/>
        <v>44971</v>
      </c>
      <c r="O40" s="122">
        <f t="shared" si="4"/>
        <v>0</v>
      </c>
      <c r="P40" s="121">
        <f t="shared" si="5"/>
        <v>44971</v>
      </c>
      <c r="Q40" s="122">
        <f t="shared" si="6"/>
        <v>0</v>
      </c>
      <c r="R40" s="121">
        <f t="shared" si="7"/>
        <v>44971</v>
      </c>
      <c r="S40" s="122">
        <f t="shared" si="8"/>
        <v>0</v>
      </c>
      <c r="T40" s="121">
        <f t="shared" si="9"/>
        <v>44971</v>
      </c>
      <c r="U40" s="109">
        <f>S40</f>
        <v>0</v>
      </c>
    </row>
    <row r="41" spans="1:21">
      <c r="F41" s="37"/>
      <c r="G41" s="38"/>
      <c r="H41" s="37"/>
      <c r="J41" s="2"/>
      <c r="K41" s="115"/>
      <c r="L41" s="121">
        <f>AVERAGE(EOMONTH(L28,-3),EOMONTH(L28,-4))</f>
        <v>45000.5</v>
      </c>
      <c r="M41" s="122">
        <f t="shared" si="12"/>
        <v>0</v>
      </c>
      <c r="N41" s="121">
        <f t="shared" si="3"/>
        <v>45000.5</v>
      </c>
      <c r="O41" s="122">
        <f t="shared" si="4"/>
        <v>0</v>
      </c>
      <c r="P41" s="121">
        <f t="shared" si="5"/>
        <v>45000.5</v>
      </c>
      <c r="Q41" s="122">
        <f t="shared" si="6"/>
        <v>0</v>
      </c>
      <c r="R41" s="121">
        <f t="shared" si="7"/>
        <v>45000.5</v>
      </c>
      <c r="S41" s="122">
        <f t="shared" si="8"/>
        <v>0</v>
      </c>
      <c r="T41" s="121">
        <f t="shared" si="9"/>
        <v>45000.5</v>
      </c>
      <c r="U41" s="109">
        <f t="shared" si="10"/>
        <v>0</v>
      </c>
    </row>
    <row r="42" spans="1:21">
      <c r="F42" s="37"/>
      <c r="G42" s="38"/>
      <c r="H42" s="37"/>
      <c r="J42" s="2"/>
      <c r="K42" s="115"/>
      <c r="L42" s="121">
        <f>AVERAGE(EOMONTH(L28,-2),EOMONTH(L28,-3))</f>
        <v>45031</v>
      </c>
      <c r="M42" s="122">
        <f t="shared" si="12"/>
        <v>0</v>
      </c>
      <c r="N42" s="121">
        <f t="shared" si="3"/>
        <v>45031</v>
      </c>
      <c r="O42" s="122">
        <f t="shared" si="4"/>
        <v>0</v>
      </c>
      <c r="P42" s="121">
        <f>N42</f>
        <v>45031</v>
      </c>
      <c r="Q42" s="122">
        <f t="shared" si="6"/>
        <v>0</v>
      </c>
      <c r="R42" s="121">
        <f t="shared" si="7"/>
        <v>45031</v>
      </c>
      <c r="S42" s="122">
        <f t="shared" si="8"/>
        <v>0</v>
      </c>
      <c r="T42" s="121">
        <f t="shared" si="9"/>
        <v>45031</v>
      </c>
      <c r="U42" s="109">
        <f t="shared" si="10"/>
        <v>0</v>
      </c>
    </row>
    <row r="43" spans="1:21" ht="21">
      <c r="B43" s="3" t="s">
        <v>118</v>
      </c>
      <c r="J43" s="2"/>
      <c r="K43" s="115"/>
      <c r="L43" s="121">
        <f>AVERAGE(EOMONTH(L28,-1),EOMONTH(L28,-2))</f>
        <v>45061.5</v>
      </c>
      <c r="M43" s="122">
        <f t="shared" si="12"/>
        <v>0</v>
      </c>
      <c r="N43" s="121">
        <f t="shared" si="3"/>
        <v>45061.5</v>
      </c>
      <c r="O43" s="122">
        <f t="shared" si="4"/>
        <v>0</v>
      </c>
      <c r="P43" s="121">
        <f t="shared" si="5"/>
        <v>45061.5</v>
      </c>
      <c r="Q43" s="122">
        <f>O43</f>
        <v>0</v>
      </c>
      <c r="R43" s="121">
        <f t="shared" si="7"/>
        <v>45061.5</v>
      </c>
      <c r="S43" s="122">
        <f t="shared" si="8"/>
        <v>0</v>
      </c>
      <c r="T43" s="121">
        <f t="shared" si="9"/>
        <v>45061.5</v>
      </c>
      <c r="U43" s="109">
        <f t="shared" si="10"/>
        <v>0</v>
      </c>
    </row>
    <row r="44" spans="1:21" ht="29">
      <c r="A44" s="221" t="s">
        <v>80</v>
      </c>
      <c r="B44" s="222" t="s">
        <v>81</v>
      </c>
      <c r="C44" s="222" t="s">
        <v>82</v>
      </c>
      <c r="D44" s="5" t="s">
        <v>83</v>
      </c>
      <c r="E44" s="5" t="s">
        <v>119</v>
      </c>
      <c r="F44" s="5" t="s">
        <v>120</v>
      </c>
      <c r="G44" s="5" t="s">
        <v>121</v>
      </c>
      <c r="H44" s="5" t="s">
        <v>122</v>
      </c>
      <c r="I44" s="5" t="s">
        <v>123</v>
      </c>
      <c r="K44" s="115"/>
      <c r="L44" s="121">
        <f>AVERAGE((L28),EOMONTH(L28,-1))</f>
        <v>45092</v>
      </c>
      <c r="M44" s="122">
        <f>-E60</f>
        <v>0</v>
      </c>
      <c r="N44" s="121">
        <f>L44</f>
        <v>45092</v>
      </c>
      <c r="O44" s="122">
        <f t="shared" si="4"/>
        <v>0</v>
      </c>
      <c r="P44" s="121">
        <f>N44</f>
        <v>45092</v>
      </c>
      <c r="Q44" s="122">
        <f t="shared" si="6"/>
        <v>0</v>
      </c>
      <c r="R44" s="121">
        <f>P44</f>
        <v>45092</v>
      </c>
      <c r="S44" s="122">
        <f t="shared" si="8"/>
        <v>0</v>
      </c>
      <c r="T44" s="121">
        <f t="shared" si="9"/>
        <v>45092</v>
      </c>
      <c r="U44" s="109">
        <f t="shared" si="10"/>
        <v>0</v>
      </c>
    </row>
    <row r="45" spans="1:21">
      <c r="A45" s="215" t="s">
        <v>118</v>
      </c>
      <c r="B45" s="215">
        <f>ROW()</f>
        <v>45</v>
      </c>
      <c r="C45" s="215"/>
      <c r="D45" s="219" t="s">
        <v>97</v>
      </c>
      <c r="E45" s="54"/>
      <c r="F45" s="47">
        <f>E64</f>
        <v>0</v>
      </c>
      <c r="G45" s="47">
        <f t="shared" ref="G45" si="13">F64</f>
        <v>0</v>
      </c>
      <c r="H45" s="47">
        <f>G64</f>
        <v>0</v>
      </c>
      <c r="I45" s="47">
        <f>H64</f>
        <v>0</v>
      </c>
      <c r="K45" s="115"/>
      <c r="L45" s="121">
        <f>L28</f>
        <v>45107</v>
      </c>
      <c r="M45" s="122">
        <f>E66</f>
        <v>0</v>
      </c>
      <c r="N45" s="121">
        <f>N28-E84</f>
        <v>45291</v>
      </c>
      <c r="O45" s="122">
        <f>F61-F62-F63</f>
        <v>0</v>
      </c>
      <c r="P45" s="121">
        <f t="shared" si="5"/>
        <v>45291</v>
      </c>
      <c r="Q45" s="122">
        <f t="shared" si="6"/>
        <v>0</v>
      </c>
      <c r="R45" s="121">
        <f>P45</f>
        <v>45291</v>
      </c>
      <c r="S45" s="122">
        <f>Q45</f>
        <v>0</v>
      </c>
      <c r="T45" s="121">
        <f>R45</f>
        <v>45291</v>
      </c>
      <c r="U45" s="109">
        <f t="shared" si="10"/>
        <v>0</v>
      </c>
    </row>
    <row r="46" spans="1:21" ht="15" thickBot="1">
      <c r="A46" s="215" t="s">
        <v>118</v>
      </c>
      <c r="B46" s="215">
        <f>ROW()</f>
        <v>46</v>
      </c>
      <c r="C46" s="215"/>
      <c r="D46" s="220" t="s">
        <v>98</v>
      </c>
      <c r="E46" s="54"/>
      <c r="F46" s="47">
        <f>E65</f>
        <v>0</v>
      </c>
      <c r="G46" s="47">
        <f t="shared" ref="G46" si="14">F65</f>
        <v>0</v>
      </c>
      <c r="H46" s="47">
        <f>G65</f>
        <v>0</v>
      </c>
      <c r="I46" s="47">
        <f>G65</f>
        <v>0</v>
      </c>
      <c r="K46" s="115"/>
      <c r="L46" s="96"/>
      <c r="M46" s="96"/>
      <c r="N46" s="121">
        <f>N28-E83</f>
        <v>45325</v>
      </c>
      <c r="O46" s="122">
        <f>F48</f>
        <v>0</v>
      </c>
      <c r="P46" s="121">
        <f>N46</f>
        <v>45325</v>
      </c>
      <c r="Q46" s="122">
        <f t="shared" si="6"/>
        <v>0</v>
      </c>
      <c r="R46" s="121">
        <f t="shared" si="7"/>
        <v>45325</v>
      </c>
      <c r="S46" s="122">
        <f t="shared" si="8"/>
        <v>0</v>
      </c>
      <c r="T46" s="121">
        <f t="shared" si="9"/>
        <v>45325</v>
      </c>
      <c r="U46" s="109">
        <f t="shared" si="10"/>
        <v>0</v>
      </c>
    </row>
    <row r="47" spans="1:21" ht="15" thickBot="1">
      <c r="A47" s="215" t="s">
        <v>118</v>
      </c>
      <c r="B47" s="215">
        <f>ROW()</f>
        <v>47</v>
      </c>
      <c r="C47" s="215"/>
      <c r="D47" s="219" t="s">
        <v>99</v>
      </c>
      <c r="E47" s="142">
        <f>E45-E46</f>
        <v>0</v>
      </c>
      <c r="F47" s="138">
        <f>F45-F46</f>
        <v>0</v>
      </c>
      <c r="G47" s="138">
        <f t="shared" ref="G47:I47" si="15">G45-G46</f>
        <v>0</v>
      </c>
      <c r="H47" s="138">
        <f>H45-H46</f>
        <v>0</v>
      </c>
      <c r="I47" s="138">
        <f t="shared" si="15"/>
        <v>0</v>
      </c>
      <c r="K47" s="115"/>
      <c r="L47" s="96"/>
      <c r="M47" s="96"/>
      <c r="N47" s="121">
        <f>AVERAGE(EOMONTH(N28,-11),EOMONTH(N28,-12))</f>
        <v>45122.5</v>
      </c>
      <c r="O47" s="122">
        <f>-F49</f>
        <v>0</v>
      </c>
      <c r="P47" s="121">
        <f t="shared" si="5"/>
        <v>45122.5</v>
      </c>
      <c r="Q47" s="122">
        <f t="shared" si="6"/>
        <v>0</v>
      </c>
      <c r="R47" s="121">
        <f t="shared" si="7"/>
        <v>45122.5</v>
      </c>
      <c r="S47" s="122">
        <f t="shared" si="8"/>
        <v>0</v>
      </c>
      <c r="T47" s="121">
        <f t="shared" si="9"/>
        <v>45122.5</v>
      </c>
      <c r="U47" s="109">
        <f>S47</f>
        <v>0</v>
      </c>
    </row>
    <row r="48" spans="1:21">
      <c r="A48" s="215" t="s">
        <v>118</v>
      </c>
      <c r="B48" s="215">
        <f>ROW()</f>
        <v>48</v>
      </c>
      <c r="C48" s="215"/>
      <c r="D48" t="s">
        <v>101</v>
      </c>
      <c r="E48" s="54"/>
      <c r="F48" s="54"/>
      <c r="G48" s="54"/>
      <c r="H48" s="54"/>
      <c r="I48" s="54"/>
      <c r="K48" s="115"/>
      <c r="L48" s="96"/>
      <c r="M48" s="96"/>
      <c r="N48" s="121">
        <f>AVERAGE(EOMONTH(N28,-10),EOMONTH(N28,-11))</f>
        <v>45153.5</v>
      </c>
      <c r="O48" s="122">
        <f t="shared" ref="O48:O57" si="16">-F50</f>
        <v>0</v>
      </c>
      <c r="P48" s="121">
        <f t="shared" si="5"/>
        <v>45153.5</v>
      </c>
      <c r="Q48" s="122">
        <f t="shared" si="6"/>
        <v>0</v>
      </c>
      <c r="R48" s="121">
        <f t="shared" si="7"/>
        <v>45153.5</v>
      </c>
      <c r="S48" s="122">
        <f t="shared" si="8"/>
        <v>0</v>
      </c>
      <c r="T48" s="121">
        <f t="shared" si="9"/>
        <v>45153.5</v>
      </c>
      <c r="U48" s="109">
        <f t="shared" si="10"/>
        <v>0</v>
      </c>
    </row>
    <row r="49" spans="1:21">
      <c r="A49" s="215" t="s">
        <v>118</v>
      </c>
      <c r="B49" s="215">
        <f>ROW()</f>
        <v>49</v>
      </c>
      <c r="C49" s="215"/>
      <c r="D49" s="220" t="s">
        <v>124</v>
      </c>
      <c r="E49" s="54"/>
      <c r="F49" s="54"/>
      <c r="G49" s="54"/>
      <c r="H49" s="54"/>
      <c r="I49" s="54"/>
      <c r="K49" s="115"/>
      <c r="L49" s="96"/>
      <c r="M49" s="96"/>
      <c r="N49" s="121">
        <f>AVERAGE(EOMONTH(N28,-9),EOMONTH(N28,-10))</f>
        <v>45184</v>
      </c>
      <c r="O49" s="122">
        <f t="shared" si="16"/>
        <v>0</v>
      </c>
      <c r="P49" s="121">
        <f t="shared" si="5"/>
        <v>45184</v>
      </c>
      <c r="Q49" s="122">
        <f>O49</f>
        <v>0</v>
      </c>
      <c r="R49" s="121">
        <f t="shared" si="7"/>
        <v>45184</v>
      </c>
      <c r="S49" s="122">
        <f t="shared" si="8"/>
        <v>0</v>
      </c>
      <c r="T49" s="121">
        <f t="shared" si="9"/>
        <v>45184</v>
      </c>
      <c r="U49" s="109">
        <f t="shared" si="10"/>
        <v>0</v>
      </c>
    </row>
    <row r="50" spans="1:21">
      <c r="A50" s="215" t="s">
        <v>118</v>
      </c>
      <c r="B50" s="215">
        <f>ROW()</f>
        <v>50</v>
      </c>
      <c r="C50" s="215"/>
      <c r="D50" s="220" t="s">
        <v>125</v>
      </c>
      <c r="E50" s="54"/>
      <c r="F50" s="54"/>
      <c r="G50" s="54"/>
      <c r="H50" s="54"/>
      <c r="I50" s="54"/>
      <c r="K50" s="115"/>
      <c r="L50" s="96"/>
      <c r="M50" s="96"/>
      <c r="N50" s="121">
        <f>AVERAGE(EOMONTH(N28,-8),EOMONTH(N28,-9))</f>
        <v>45214.5</v>
      </c>
      <c r="O50" s="122">
        <f t="shared" si="16"/>
        <v>0</v>
      </c>
      <c r="P50" s="121">
        <f t="shared" si="5"/>
        <v>45214.5</v>
      </c>
      <c r="Q50" s="122">
        <f t="shared" si="6"/>
        <v>0</v>
      </c>
      <c r="R50" s="121">
        <f t="shared" si="7"/>
        <v>45214.5</v>
      </c>
      <c r="S50" s="122">
        <f t="shared" si="8"/>
        <v>0</v>
      </c>
      <c r="T50" s="121">
        <f t="shared" si="9"/>
        <v>45214.5</v>
      </c>
      <c r="U50" s="109">
        <f t="shared" si="10"/>
        <v>0</v>
      </c>
    </row>
    <row r="51" spans="1:21">
      <c r="A51" s="215" t="s">
        <v>118</v>
      </c>
      <c r="B51" s="215">
        <f>ROW()</f>
        <v>51</v>
      </c>
      <c r="C51" s="215"/>
      <c r="D51" s="220" t="s">
        <v>126</v>
      </c>
      <c r="E51" s="54"/>
      <c r="F51" s="54"/>
      <c r="G51" s="54"/>
      <c r="H51" s="54"/>
      <c r="I51" s="54"/>
      <c r="K51" s="115"/>
      <c r="L51" s="96"/>
      <c r="M51" s="96"/>
      <c r="N51" s="121">
        <f>AVERAGE(EOMONTH(N28,-7),EOMONTH(N28,-8))</f>
        <v>45245</v>
      </c>
      <c r="O51" s="122">
        <f t="shared" si="16"/>
        <v>0</v>
      </c>
      <c r="P51" s="121">
        <f t="shared" si="5"/>
        <v>45245</v>
      </c>
      <c r="Q51" s="122">
        <f t="shared" si="6"/>
        <v>0</v>
      </c>
      <c r="R51" s="121">
        <f t="shared" si="7"/>
        <v>45245</v>
      </c>
      <c r="S51" s="122">
        <f t="shared" si="8"/>
        <v>0</v>
      </c>
      <c r="T51" s="121">
        <f t="shared" si="9"/>
        <v>45245</v>
      </c>
      <c r="U51" s="109">
        <f t="shared" si="10"/>
        <v>0</v>
      </c>
    </row>
    <row r="52" spans="1:21">
      <c r="A52" s="215" t="s">
        <v>118</v>
      </c>
      <c r="B52" s="215">
        <f>ROW()</f>
        <v>52</v>
      </c>
      <c r="C52" s="215"/>
      <c r="D52" s="220" t="s">
        <v>127</v>
      </c>
      <c r="E52" s="54"/>
      <c r="F52" s="54"/>
      <c r="G52" s="54"/>
      <c r="H52" s="54"/>
      <c r="I52" s="54"/>
      <c r="K52" s="115"/>
      <c r="L52" s="96"/>
      <c r="M52" s="96"/>
      <c r="N52" s="121">
        <f>AVERAGE(EOMONTH(N28,-6),EOMONTH(N28,-7))</f>
        <v>45275.5</v>
      </c>
      <c r="O52" s="122">
        <f t="shared" si="16"/>
        <v>0</v>
      </c>
      <c r="P52" s="121">
        <f t="shared" si="5"/>
        <v>45275.5</v>
      </c>
      <c r="Q52" s="122">
        <f t="shared" si="6"/>
        <v>0</v>
      </c>
      <c r="R52" s="121">
        <f>P52</f>
        <v>45275.5</v>
      </c>
      <c r="S52" s="122">
        <f t="shared" si="8"/>
        <v>0</v>
      </c>
      <c r="T52" s="121">
        <f t="shared" si="9"/>
        <v>45275.5</v>
      </c>
      <c r="U52" s="109">
        <f t="shared" si="10"/>
        <v>0</v>
      </c>
    </row>
    <row r="53" spans="1:21">
      <c r="A53" s="215" t="s">
        <v>118</v>
      </c>
      <c r="B53" s="215">
        <f>ROW()</f>
        <v>53</v>
      </c>
      <c r="C53" s="215"/>
      <c r="D53" s="220" t="s">
        <v>128</v>
      </c>
      <c r="E53" s="54"/>
      <c r="F53" s="54"/>
      <c r="G53" s="54"/>
      <c r="H53" s="54"/>
      <c r="I53" s="54"/>
      <c r="K53" s="115"/>
      <c r="L53" s="96"/>
      <c r="M53" s="96"/>
      <c r="N53" s="121">
        <f>AVERAGE(EOMONTH(N28,-5),EOMONTH(N28,-6))</f>
        <v>45306.5</v>
      </c>
      <c r="O53" s="122">
        <f t="shared" si="16"/>
        <v>0</v>
      </c>
      <c r="P53" s="121">
        <f t="shared" si="5"/>
        <v>45306.5</v>
      </c>
      <c r="Q53" s="122">
        <f t="shared" si="6"/>
        <v>0</v>
      </c>
      <c r="R53" s="121">
        <f t="shared" si="7"/>
        <v>45306.5</v>
      </c>
      <c r="S53" s="122">
        <f>Q53</f>
        <v>0</v>
      </c>
      <c r="T53" s="121">
        <f t="shared" si="9"/>
        <v>45306.5</v>
      </c>
      <c r="U53" s="109">
        <f t="shared" si="10"/>
        <v>0</v>
      </c>
    </row>
    <row r="54" spans="1:21">
      <c r="A54" s="215" t="s">
        <v>118</v>
      </c>
      <c r="B54" s="215">
        <f>ROW()</f>
        <v>54</v>
      </c>
      <c r="C54" s="215"/>
      <c r="D54" s="220" t="s">
        <v>129</v>
      </c>
      <c r="E54" s="54"/>
      <c r="F54" s="54"/>
      <c r="G54" s="54"/>
      <c r="H54" s="54"/>
      <c r="I54" s="54"/>
      <c r="K54" s="115"/>
      <c r="L54" s="96"/>
      <c r="M54" s="96"/>
      <c r="N54" s="121">
        <f>AVERAGE(EOMONTH(N28,-4),EOMONTH(N28,-5))</f>
        <v>45336.5</v>
      </c>
      <c r="O54" s="122">
        <f t="shared" si="16"/>
        <v>0</v>
      </c>
      <c r="P54" s="121">
        <f t="shared" si="5"/>
        <v>45336.5</v>
      </c>
      <c r="Q54" s="122">
        <f t="shared" si="6"/>
        <v>0</v>
      </c>
      <c r="R54" s="121">
        <f t="shared" si="7"/>
        <v>45336.5</v>
      </c>
      <c r="S54" s="122">
        <f t="shared" si="8"/>
        <v>0</v>
      </c>
      <c r="T54" s="121">
        <f t="shared" si="9"/>
        <v>45336.5</v>
      </c>
      <c r="U54" s="109">
        <f t="shared" si="10"/>
        <v>0</v>
      </c>
    </row>
    <row r="55" spans="1:21">
      <c r="A55" s="215" t="s">
        <v>118</v>
      </c>
      <c r="B55" s="215">
        <f>ROW()</f>
        <v>55</v>
      </c>
      <c r="C55" s="215"/>
      <c r="D55" s="220" t="s">
        <v>130</v>
      </c>
      <c r="E55" s="54"/>
      <c r="F55" s="54"/>
      <c r="G55" s="54"/>
      <c r="H55" s="54"/>
      <c r="I55" s="54"/>
      <c r="K55" s="115"/>
      <c r="L55" s="96"/>
      <c r="M55" s="96"/>
      <c r="N55" s="121">
        <f>AVERAGE(EOMONTH(N28,-3),EOMONTH(N28,-4))</f>
        <v>45366.5</v>
      </c>
      <c r="O55" s="122">
        <f t="shared" si="16"/>
        <v>0</v>
      </c>
      <c r="P55" s="121">
        <f t="shared" si="5"/>
        <v>45366.5</v>
      </c>
      <c r="Q55" s="122">
        <f t="shared" si="6"/>
        <v>0</v>
      </c>
      <c r="R55" s="121">
        <f t="shared" si="7"/>
        <v>45366.5</v>
      </c>
      <c r="S55" s="122">
        <f t="shared" si="8"/>
        <v>0</v>
      </c>
      <c r="T55" s="121">
        <f t="shared" si="9"/>
        <v>45366.5</v>
      </c>
      <c r="U55" s="109">
        <f t="shared" si="10"/>
        <v>0</v>
      </c>
    </row>
    <row r="56" spans="1:21">
      <c r="A56" s="215" t="s">
        <v>118</v>
      </c>
      <c r="B56" s="215">
        <f>ROW()</f>
        <v>56</v>
      </c>
      <c r="C56" s="215"/>
      <c r="D56" s="220" t="s">
        <v>131</v>
      </c>
      <c r="E56" s="54"/>
      <c r="F56" s="54"/>
      <c r="G56" s="54"/>
      <c r="H56" s="54"/>
      <c r="I56" s="54"/>
      <c r="K56" s="115"/>
      <c r="L56" s="96"/>
      <c r="M56" s="96"/>
      <c r="N56" s="121">
        <f>AVERAGE(EOMONTH(N28,-2),EOMONTH(N28,-3))</f>
        <v>45397</v>
      </c>
      <c r="O56" s="122">
        <f t="shared" si="16"/>
        <v>0</v>
      </c>
      <c r="P56" s="121">
        <f>N56</f>
        <v>45397</v>
      </c>
      <c r="Q56" s="122">
        <f t="shared" si="6"/>
        <v>0</v>
      </c>
      <c r="R56" s="121">
        <f t="shared" si="7"/>
        <v>45397</v>
      </c>
      <c r="S56" s="122">
        <f t="shared" si="8"/>
        <v>0</v>
      </c>
      <c r="T56" s="121">
        <f>R56</f>
        <v>45397</v>
      </c>
      <c r="U56" s="109">
        <f t="shared" si="10"/>
        <v>0</v>
      </c>
    </row>
    <row r="57" spans="1:21">
      <c r="A57" s="215" t="s">
        <v>118</v>
      </c>
      <c r="B57" s="215">
        <f>ROW()</f>
        <v>57</v>
      </c>
      <c r="C57" s="215"/>
      <c r="D57" s="220" t="s">
        <v>132</v>
      </c>
      <c r="E57" s="54"/>
      <c r="F57" s="54"/>
      <c r="G57" s="54"/>
      <c r="H57" s="54"/>
      <c r="I57" s="54"/>
      <c r="K57" s="115"/>
      <c r="L57" s="96"/>
      <c r="M57" s="96"/>
      <c r="N57" s="121">
        <f>AVERAGE(EOMONTH(N28,-1),EOMONTH(N28,-2))</f>
        <v>45427.5</v>
      </c>
      <c r="O57" s="122">
        <f t="shared" si="16"/>
        <v>0</v>
      </c>
      <c r="P57" s="121">
        <f t="shared" si="5"/>
        <v>45427.5</v>
      </c>
      <c r="Q57" s="122">
        <f t="shared" si="6"/>
        <v>0</v>
      </c>
      <c r="R57" s="121">
        <f t="shared" si="7"/>
        <v>45427.5</v>
      </c>
      <c r="S57" s="122">
        <f t="shared" si="8"/>
        <v>0</v>
      </c>
      <c r="T57" s="121">
        <f t="shared" si="9"/>
        <v>45427.5</v>
      </c>
      <c r="U57" s="109">
        <f>S57</f>
        <v>0</v>
      </c>
    </row>
    <row r="58" spans="1:21">
      <c r="A58" s="215" t="s">
        <v>118</v>
      </c>
      <c r="B58" s="215">
        <f>ROW()</f>
        <v>58</v>
      </c>
      <c r="C58" s="215"/>
      <c r="D58" s="220" t="s">
        <v>133</v>
      </c>
      <c r="E58" s="54"/>
      <c r="F58" s="54"/>
      <c r="G58" s="54"/>
      <c r="H58" s="54"/>
      <c r="I58" s="54"/>
      <c r="K58" s="115"/>
      <c r="L58" s="96"/>
      <c r="M58" s="96"/>
      <c r="N58" s="121">
        <f>AVERAGE((N28),EOMONTH(N28,-1))</f>
        <v>45458</v>
      </c>
      <c r="O58" s="122">
        <f>-F60</f>
        <v>0</v>
      </c>
      <c r="P58" s="121">
        <f t="shared" si="5"/>
        <v>45458</v>
      </c>
      <c r="Q58" s="122">
        <f t="shared" si="6"/>
        <v>0</v>
      </c>
      <c r="R58" s="121">
        <f t="shared" si="7"/>
        <v>45458</v>
      </c>
      <c r="S58" s="122">
        <f t="shared" si="8"/>
        <v>0</v>
      </c>
      <c r="T58" s="121">
        <f t="shared" si="9"/>
        <v>45458</v>
      </c>
      <c r="U58" s="109">
        <f t="shared" si="10"/>
        <v>0</v>
      </c>
    </row>
    <row r="59" spans="1:21">
      <c r="A59" s="215" t="s">
        <v>118</v>
      </c>
      <c r="B59" s="215">
        <f>ROW()</f>
        <v>59</v>
      </c>
      <c r="C59" s="215"/>
      <c r="D59" s="220" t="s">
        <v>134</v>
      </c>
      <c r="E59" s="54"/>
      <c r="F59" s="54"/>
      <c r="G59" s="54"/>
      <c r="H59" s="54"/>
      <c r="I59" s="54"/>
      <c r="K59" s="115"/>
      <c r="L59" s="96"/>
      <c r="M59" s="96"/>
      <c r="N59" s="121">
        <f>N28</f>
        <v>45473</v>
      </c>
      <c r="O59" s="122">
        <f>F66</f>
        <v>0</v>
      </c>
      <c r="P59" s="121">
        <f>P28-E84</f>
        <v>45656</v>
      </c>
      <c r="Q59" s="122">
        <f>G61-G62-G63</f>
        <v>0</v>
      </c>
      <c r="R59" s="121">
        <f t="shared" si="7"/>
        <v>45656</v>
      </c>
      <c r="S59" s="122">
        <f t="shared" si="8"/>
        <v>0</v>
      </c>
      <c r="T59" s="121">
        <f t="shared" si="9"/>
        <v>45656</v>
      </c>
      <c r="U59" s="109">
        <f t="shared" si="10"/>
        <v>0</v>
      </c>
    </row>
    <row r="60" spans="1:21">
      <c r="A60" s="215" t="s">
        <v>118</v>
      </c>
      <c r="B60" s="215">
        <f>ROW()</f>
        <v>60</v>
      </c>
      <c r="C60" s="215"/>
      <c r="D60" s="220" t="s">
        <v>135</v>
      </c>
      <c r="E60" s="54"/>
      <c r="F60" s="54"/>
      <c r="G60" s="54"/>
      <c r="H60" s="54"/>
      <c r="I60" s="54"/>
      <c r="K60" s="115"/>
      <c r="L60" s="96"/>
      <c r="M60" s="96"/>
      <c r="N60" s="96"/>
      <c r="O60" s="96"/>
      <c r="P60" s="121">
        <f>P28-E83</f>
        <v>45690</v>
      </c>
      <c r="Q60" s="122">
        <f>G48</f>
        <v>0</v>
      </c>
      <c r="R60" s="121">
        <f t="shared" si="7"/>
        <v>45690</v>
      </c>
      <c r="S60" s="122">
        <f t="shared" si="8"/>
        <v>0</v>
      </c>
      <c r="T60" s="121">
        <f t="shared" si="9"/>
        <v>45690</v>
      </c>
      <c r="U60" s="109">
        <f t="shared" si="10"/>
        <v>0</v>
      </c>
    </row>
    <row r="61" spans="1:21">
      <c r="A61" s="215" t="s">
        <v>118</v>
      </c>
      <c r="B61" s="215">
        <f>ROW()</f>
        <v>61</v>
      </c>
      <c r="C61" s="215"/>
      <c r="D61" s="220" t="s">
        <v>104</v>
      </c>
      <c r="E61" s="54"/>
      <c r="F61" s="54"/>
      <c r="G61" s="54"/>
      <c r="H61" s="54"/>
      <c r="I61" s="54"/>
      <c r="K61" s="115"/>
      <c r="L61" s="96"/>
      <c r="M61" s="96"/>
      <c r="N61" s="96"/>
      <c r="O61" s="96"/>
      <c r="P61" s="121">
        <f>AVERAGE(EOMONTH(P28,-11),EOMONTH(P28,-12))</f>
        <v>45488.5</v>
      </c>
      <c r="Q61" s="122">
        <f>-G49</f>
        <v>0</v>
      </c>
      <c r="R61" s="121">
        <f t="shared" si="7"/>
        <v>45488.5</v>
      </c>
      <c r="S61" s="122">
        <f t="shared" si="8"/>
        <v>0</v>
      </c>
      <c r="T61" s="121">
        <f t="shared" si="9"/>
        <v>45488.5</v>
      </c>
      <c r="U61" s="109">
        <f t="shared" si="10"/>
        <v>0</v>
      </c>
    </row>
    <row r="62" spans="1:21">
      <c r="A62" s="215" t="s">
        <v>118</v>
      </c>
      <c r="B62" s="215">
        <f>ROW()</f>
        <v>62</v>
      </c>
      <c r="C62" s="215"/>
      <c r="D62" s="220" t="s">
        <v>105</v>
      </c>
      <c r="E62" s="54"/>
      <c r="F62" s="54"/>
      <c r="G62" s="54"/>
      <c r="H62" s="54"/>
      <c r="I62" s="54"/>
      <c r="K62" s="115"/>
      <c r="L62" s="96"/>
      <c r="M62" s="96"/>
      <c r="N62" s="96"/>
      <c r="O62" s="96"/>
      <c r="P62" s="121">
        <f>AVERAGE(EOMONTH(P28,-10),EOMONTH(P28,-11))</f>
        <v>45519.5</v>
      </c>
      <c r="Q62" s="122">
        <f t="shared" ref="Q62:Q72" si="17">-G50</f>
        <v>0</v>
      </c>
      <c r="R62" s="121">
        <f>P62</f>
        <v>45519.5</v>
      </c>
      <c r="S62" s="122">
        <f t="shared" si="8"/>
        <v>0</v>
      </c>
      <c r="T62" s="121">
        <f t="shared" si="9"/>
        <v>45519.5</v>
      </c>
      <c r="U62" s="109">
        <f t="shared" si="10"/>
        <v>0</v>
      </c>
    </row>
    <row r="63" spans="1:21">
      <c r="A63" s="215" t="s">
        <v>118</v>
      </c>
      <c r="B63" s="215">
        <f>ROW()</f>
        <v>63</v>
      </c>
      <c r="C63" s="215"/>
      <c r="D63" s="220" t="s">
        <v>106</v>
      </c>
      <c r="E63" s="54"/>
      <c r="F63" s="54"/>
      <c r="G63" s="54"/>
      <c r="H63" s="54"/>
      <c r="I63" s="54"/>
      <c r="K63" s="115"/>
      <c r="L63" s="96"/>
      <c r="M63" s="96"/>
      <c r="N63" s="96"/>
      <c r="O63" s="96"/>
      <c r="P63" s="121">
        <f>AVERAGE(EOMONTH(P28,-9),EOMONTH(P28,-10))</f>
        <v>45550</v>
      </c>
      <c r="Q63" s="122">
        <f t="shared" si="17"/>
        <v>0</v>
      </c>
      <c r="R63" s="121">
        <f t="shared" si="7"/>
        <v>45550</v>
      </c>
      <c r="S63" s="122">
        <f t="shared" si="8"/>
        <v>0</v>
      </c>
      <c r="T63" s="121">
        <f t="shared" si="9"/>
        <v>45550</v>
      </c>
      <c r="U63" s="109">
        <f t="shared" si="10"/>
        <v>0</v>
      </c>
    </row>
    <row r="64" spans="1:21">
      <c r="A64" s="215" t="s">
        <v>118</v>
      </c>
      <c r="B64" s="215">
        <f>ROW()</f>
        <v>64</v>
      </c>
      <c r="C64" s="215"/>
      <c r="D64" s="220" t="s">
        <v>107</v>
      </c>
      <c r="E64" s="54"/>
      <c r="F64" s="54"/>
      <c r="G64" s="54"/>
      <c r="H64" s="54"/>
      <c r="I64" s="54"/>
      <c r="K64" s="115"/>
      <c r="L64" s="96"/>
      <c r="M64" s="96"/>
      <c r="N64" s="96"/>
      <c r="O64" s="96"/>
      <c r="P64" s="121">
        <f>AVERAGE(EOMONTH(P28,-8),EOMONTH(P28,-9))</f>
        <v>45580.5</v>
      </c>
      <c r="Q64" s="122">
        <f t="shared" si="17"/>
        <v>0</v>
      </c>
      <c r="R64" s="121">
        <f t="shared" si="7"/>
        <v>45580.5</v>
      </c>
      <c r="S64" s="122">
        <f>Q64</f>
        <v>0</v>
      </c>
      <c r="T64" s="121">
        <f t="shared" si="9"/>
        <v>45580.5</v>
      </c>
      <c r="U64" s="109">
        <f t="shared" si="10"/>
        <v>0</v>
      </c>
    </row>
    <row r="65" spans="1:21" ht="15" thickBot="1">
      <c r="A65" s="215" t="s">
        <v>118</v>
      </c>
      <c r="B65" s="215">
        <f>ROW()</f>
        <v>65</v>
      </c>
      <c r="C65" s="215"/>
      <c r="D65" s="220" t="s">
        <v>108</v>
      </c>
      <c r="E65" s="54"/>
      <c r="F65" s="54"/>
      <c r="G65" s="54"/>
      <c r="H65" s="54"/>
      <c r="I65" s="54"/>
      <c r="K65" s="115"/>
      <c r="L65" s="96"/>
      <c r="M65" s="96"/>
      <c r="N65" s="96"/>
      <c r="O65" s="96"/>
      <c r="P65" s="121">
        <f>AVERAGE(EOMONTH(P28,-7),EOMONTH(P28,-8))</f>
        <v>45611</v>
      </c>
      <c r="Q65" s="122">
        <f t="shared" si="17"/>
        <v>0</v>
      </c>
      <c r="R65" s="121">
        <f t="shared" si="7"/>
        <v>45611</v>
      </c>
      <c r="S65" s="122">
        <f t="shared" si="8"/>
        <v>0</v>
      </c>
      <c r="T65" s="121">
        <f t="shared" si="9"/>
        <v>45611</v>
      </c>
      <c r="U65" s="109">
        <f t="shared" si="10"/>
        <v>0</v>
      </c>
    </row>
    <row r="66" spans="1:21" ht="15" thickBot="1">
      <c r="A66" s="215" t="s">
        <v>118</v>
      </c>
      <c r="B66" s="215">
        <f>ROW()</f>
        <v>66</v>
      </c>
      <c r="C66" s="215"/>
      <c r="D66" s="219" t="s">
        <v>109</v>
      </c>
      <c r="E66" s="143">
        <f>E64-E65</f>
        <v>0</v>
      </c>
      <c r="F66" s="143">
        <f>F64-F65</f>
        <v>0</v>
      </c>
      <c r="G66" s="143">
        <f t="shared" ref="G66:I66" si="18">G64-G65</f>
        <v>0</v>
      </c>
      <c r="H66" s="143">
        <f t="shared" si="18"/>
        <v>0</v>
      </c>
      <c r="I66" s="143">
        <f t="shared" si="18"/>
        <v>0</v>
      </c>
      <c r="K66" s="115"/>
      <c r="L66" s="96"/>
      <c r="M66" s="96"/>
      <c r="N66" s="96"/>
      <c r="O66" s="96"/>
      <c r="P66" s="121">
        <f>AVERAGE(EOMONTH(P28,-6),EOMONTH(P28,-7))</f>
        <v>45641.5</v>
      </c>
      <c r="Q66" s="122">
        <f t="shared" si="17"/>
        <v>0</v>
      </c>
      <c r="R66" s="121">
        <f t="shared" si="7"/>
        <v>45641.5</v>
      </c>
      <c r="S66" s="122">
        <f t="shared" si="8"/>
        <v>0</v>
      </c>
      <c r="T66" s="121">
        <f t="shared" si="9"/>
        <v>45641.5</v>
      </c>
      <c r="U66" s="109">
        <f t="shared" si="10"/>
        <v>0</v>
      </c>
    </row>
    <row r="67" spans="1:21" ht="15" thickBot="1">
      <c r="A67" s="215" t="s">
        <v>118</v>
      </c>
      <c r="B67" s="215">
        <f>ROW()</f>
        <v>67</v>
      </c>
      <c r="C67" s="215"/>
      <c r="D67" s="219" t="s">
        <v>89</v>
      </c>
      <c r="E67" s="135" t="str">
        <f>M102</f>
        <v/>
      </c>
      <c r="F67" s="135" t="str">
        <f>O102</f>
        <v/>
      </c>
      <c r="G67" s="135" t="str">
        <f>Q102</f>
        <v/>
      </c>
      <c r="H67" s="135" t="str">
        <f>S102</f>
        <v/>
      </c>
      <c r="I67" s="135" t="str">
        <f>U102</f>
        <v/>
      </c>
      <c r="K67" s="115"/>
      <c r="L67" s="96"/>
      <c r="M67" s="96"/>
      <c r="N67" s="96"/>
      <c r="O67" s="96"/>
      <c r="P67" s="121">
        <f>AVERAGE(EOMONTH(P28,-5),EOMONTH(P28,-6))</f>
        <v>45672.5</v>
      </c>
      <c r="Q67" s="122">
        <f t="shared" si="17"/>
        <v>0</v>
      </c>
      <c r="R67" s="121">
        <f t="shared" si="7"/>
        <v>45672.5</v>
      </c>
      <c r="S67" s="122">
        <f t="shared" si="8"/>
        <v>0</v>
      </c>
      <c r="T67" s="121">
        <f t="shared" si="9"/>
        <v>45672.5</v>
      </c>
      <c r="U67" s="109">
        <f>S67</f>
        <v>0</v>
      </c>
    </row>
    <row r="68" spans="1:21">
      <c r="J68" s="2"/>
      <c r="K68" s="115"/>
      <c r="L68" s="96"/>
      <c r="M68" s="96"/>
      <c r="N68" s="96"/>
      <c r="O68" s="96"/>
      <c r="P68" s="121">
        <f>AVERAGE(EOMONTH(P28,-4),EOMONTH(P28,-5))</f>
        <v>45702</v>
      </c>
      <c r="Q68" s="122">
        <f t="shared" si="17"/>
        <v>0</v>
      </c>
      <c r="R68" s="121">
        <f t="shared" si="7"/>
        <v>45702</v>
      </c>
      <c r="S68" s="122">
        <f t="shared" si="8"/>
        <v>0</v>
      </c>
      <c r="T68" s="121">
        <f t="shared" si="9"/>
        <v>45702</v>
      </c>
      <c r="U68" s="109">
        <f t="shared" si="10"/>
        <v>0</v>
      </c>
    </row>
    <row r="69" spans="1:21">
      <c r="J69" s="2"/>
      <c r="K69" s="115"/>
      <c r="L69" s="96"/>
      <c r="M69" s="96"/>
      <c r="N69" s="96"/>
      <c r="O69" s="96"/>
      <c r="P69" s="121">
        <f>AVERAGE(EOMONTH(P28,-3),EOMONTH(P28,-4))</f>
        <v>45731.5</v>
      </c>
      <c r="Q69" s="122">
        <f t="shared" si="17"/>
        <v>0</v>
      </c>
      <c r="R69" s="121">
        <f t="shared" si="7"/>
        <v>45731.5</v>
      </c>
      <c r="S69" s="122">
        <f t="shared" si="8"/>
        <v>0</v>
      </c>
      <c r="T69" s="121">
        <f t="shared" si="9"/>
        <v>45731.5</v>
      </c>
      <c r="U69" s="109">
        <f t="shared" si="10"/>
        <v>0</v>
      </c>
    </row>
    <row r="70" spans="1:21" ht="21">
      <c r="B70" s="3" t="s">
        <v>136</v>
      </c>
      <c r="J70" s="2"/>
      <c r="K70" s="115"/>
      <c r="L70" s="96"/>
      <c r="M70" s="96"/>
      <c r="N70" s="96"/>
      <c r="O70" s="96"/>
      <c r="P70" s="121">
        <f>AVERAGE(EOMONTH(P28,-2),EOMONTH(P28,-3))</f>
        <v>45762</v>
      </c>
      <c r="Q70" s="122">
        <f t="shared" si="17"/>
        <v>0</v>
      </c>
      <c r="R70" s="121">
        <f t="shared" si="7"/>
        <v>45762</v>
      </c>
      <c r="S70" s="122">
        <f t="shared" si="8"/>
        <v>0</v>
      </c>
      <c r="T70" s="121">
        <f t="shared" si="9"/>
        <v>45762</v>
      </c>
      <c r="U70" s="109">
        <f t="shared" si="10"/>
        <v>0</v>
      </c>
    </row>
    <row r="71" spans="1:21">
      <c r="A71" s="221" t="s">
        <v>80</v>
      </c>
      <c r="B71" s="222" t="s">
        <v>81</v>
      </c>
      <c r="C71" s="222" t="s">
        <v>82</v>
      </c>
      <c r="D71" s="5" t="s">
        <v>83</v>
      </c>
      <c r="E71" s="5" t="s">
        <v>137</v>
      </c>
      <c r="F71" s="5" t="s">
        <v>138</v>
      </c>
      <c r="G71" s="8" t="s">
        <v>86</v>
      </c>
      <c r="K71" s="115"/>
      <c r="L71" s="96"/>
      <c r="M71" s="96"/>
      <c r="N71" s="96"/>
      <c r="O71" s="96"/>
      <c r="P71" s="121">
        <f>AVERAGE(EOMONTH(P28,-1),EOMONTH(P28,-2))</f>
        <v>45792.5</v>
      </c>
      <c r="Q71" s="122">
        <f t="shared" si="17"/>
        <v>0</v>
      </c>
      <c r="R71" s="121">
        <f t="shared" si="7"/>
        <v>45792.5</v>
      </c>
      <c r="S71" s="122">
        <f t="shared" si="8"/>
        <v>0</v>
      </c>
      <c r="T71" s="121">
        <f>R71</f>
        <v>45792.5</v>
      </c>
      <c r="U71" s="109">
        <f t="shared" si="10"/>
        <v>0</v>
      </c>
    </row>
    <row r="72" spans="1:21">
      <c r="A72" s="215" t="s">
        <v>136</v>
      </c>
      <c r="B72" s="215">
        <f>ROW()</f>
        <v>72</v>
      </c>
      <c r="C72" s="215"/>
      <c r="D72" s="220" t="s">
        <v>98</v>
      </c>
      <c r="E72" s="54"/>
      <c r="F72" s="54"/>
      <c r="G72" s="47">
        <f>E72-F72</f>
        <v>0</v>
      </c>
      <c r="K72" s="115"/>
      <c r="L72" s="96"/>
      <c r="M72" s="96"/>
      <c r="N72" s="96"/>
      <c r="O72" s="96"/>
      <c r="P72" s="121">
        <f>AVERAGE(P28,EOMONTH(P28,-1))</f>
        <v>45823</v>
      </c>
      <c r="Q72" s="122">
        <f t="shared" si="17"/>
        <v>0</v>
      </c>
      <c r="R72" s="121">
        <f t="shared" si="7"/>
        <v>45823</v>
      </c>
      <c r="S72" s="122">
        <f t="shared" si="8"/>
        <v>0</v>
      </c>
      <c r="T72" s="121">
        <f t="shared" si="9"/>
        <v>45823</v>
      </c>
      <c r="U72" s="109">
        <f t="shared" si="10"/>
        <v>0</v>
      </c>
    </row>
    <row r="73" spans="1:21">
      <c r="A73" s="215" t="s">
        <v>136</v>
      </c>
      <c r="B73" s="215">
        <f>ROW()</f>
        <v>73</v>
      </c>
      <c r="C73" s="215"/>
      <c r="D73" s="220" t="s">
        <v>139</v>
      </c>
      <c r="E73" s="54"/>
      <c r="F73" s="54"/>
      <c r="G73" s="47">
        <f t="shared" ref="G73:G74" si="19">E73-F73</f>
        <v>0</v>
      </c>
      <c r="K73" s="115"/>
      <c r="L73" s="96"/>
      <c r="M73" s="96"/>
      <c r="N73" s="96"/>
      <c r="O73" s="96"/>
      <c r="P73" s="121">
        <f>P28</f>
        <v>45838</v>
      </c>
      <c r="Q73" s="122">
        <f>G66</f>
        <v>0</v>
      </c>
      <c r="R73" s="121">
        <f>R28-E84</f>
        <v>46021</v>
      </c>
      <c r="S73" s="122">
        <f>H61-H62-H63</f>
        <v>0</v>
      </c>
      <c r="T73" s="121">
        <f t="shared" si="9"/>
        <v>46021</v>
      </c>
      <c r="U73" s="109">
        <f t="shared" si="10"/>
        <v>0</v>
      </c>
    </row>
    <row r="74" spans="1:21">
      <c r="A74" s="215" t="s">
        <v>136</v>
      </c>
      <c r="B74" s="215">
        <f>ROW()</f>
        <v>74</v>
      </c>
      <c r="C74" s="215"/>
      <c r="D74" s="220" t="s">
        <v>140</v>
      </c>
      <c r="E74" s="54"/>
      <c r="F74" s="54"/>
      <c r="G74" s="47">
        <f t="shared" si="19"/>
        <v>0</v>
      </c>
      <c r="K74" s="115"/>
      <c r="L74" s="96"/>
      <c r="M74" s="96"/>
      <c r="N74" s="96"/>
      <c r="O74" s="96"/>
      <c r="P74" s="96"/>
      <c r="Q74" s="96"/>
      <c r="R74" s="121">
        <f>R28-E83</f>
        <v>46055</v>
      </c>
      <c r="S74" s="122">
        <f>H48</f>
        <v>0</v>
      </c>
      <c r="T74" s="121">
        <f t="shared" si="9"/>
        <v>46055</v>
      </c>
      <c r="U74" s="109">
        <f t="shared" si="10"/>
        <v>0</v>
      </c>
    </row>
    <row r="75" spans="1:21">
      <c r="A75" s="215" t="s">
        <v>136</v>
      </c>
      <c r="B75" s="215">
        <f>ROW()</f>
        <v>75</v>
      </c>
      <c r="C75" s="215"/>
      <c r="D75" s="220" t="s">
        <v>141</v>
      </c>
      <c r="E75" s="54"/>
      <c r="F75" s="54"/>
      <c r="G75" s="47">
        <f>E75-F75</f>
        <v>0</v>
      </c>
      <c r="K75" s="115"/>
      <c r="L75" s="96"/>
      <c r="M75" s="96"/>
      <c r="N75" s="96"/>
      <c r="O75" s="96"/>
      <c r="P75" s="96"/>
      <c r="Q75" s="96"/>
      <c r="R75" s="121">
        <f>AVERAGE(EOMONTH(R28,-11),EOMONTH(R28,-12))</f>
        <v>45853.5</v>
      </c>
      <c r="S75" s="122">
        <f>-H49</f>
        <v>0</v>
      </c>
      <c r="T75" s="121">
        <f t="shared" si="9"/>
        <v>45853.5</v>
      </c>
      <c r="U75" s="109">
        <f t="shared" si="10"/>
        <v>0</v>
      </c>
    </row>
    <row r="76" spans="1:21" ht="15" thickBot="1">
      <c r="A76" s="215" t="s">
        <v>136</v>
      </c>
      <c r="B76" s="215">
        <f>ROW()</f>
        <v>76</v>
      </c>
      <c r="C76" s="215"/>
      <c r="D76" s="220" t="s">
        <v>142</v>
      </c>
      <c r="E76" s="54"/>
      <c r="F76" s="10"/>
      <c r="G76" s="47">
        <f>E76</f>
        <v>0</v>
      </c>
      <c r="K76" s="115"/>
      <c r="L76" s="96"/>
      <c r="M76" s="96"/>
      <c r="N76" s="96"/>
      <c r="O76" s="96"/>
      <c r="P76" s="96"/>
      <c r="Q76" s="96"/>
      <c r="R76" s="121">
        <f>AVERAGE(EOMONTH(R28,-10),EOMONTH(R28,-11))</f>
        <v>45884.5</v>
      </c>
      <c r="S76" s="122">
        <f t="shared" ref="S76:S86" si="20">-H50</f>
        <v>0</v>
      </c>
      <c r="T76" s="121">
        <f t="shared" si="9"/>
        <v>45884.5</v>
      </c>
      <c r="U76" s="109">
        <f>S76</f>
        <v>0</v>
      </c>
    </row>
    <row r="77" spans="1:21" ht="15" thickBot="1">
      <c r="A77" s="215" t="s">
        <v>136</v>
      </c>
      <c r="B77" s="215">
        <f>ROW()</f>
        <v>77</v>
      </c>
      <c r="C77" s="215"/>
      <c r="D77" s="220" t="s">
        <v>108</v>
      </c>
      <c r="E77" s="52">
        <f>SUM(E72:E76)</f>
        <v>0</v>
      </c>
      <c r="F77" s="52">
        <f>SUM(F72:F75)</f>
        <v>0</v>
      </c>
      <c r="G77" s="47">
        <f>E77-F77</f>
        <v>0</v>
      </c>
      <c r="K77" s="115"/>
      <c r="L77" s="96"/>
      <c r="M77" s="96"/>
      <c r="N77" s="96"/>
      <c r="O77" s="96"/>
      <c r="P77" s="96"/>
      <c r="Q77" s="96"/>
      <c r="R77" s="121">
        <f>AVERAGE(EOMONTH(R28,-9),EOMONTH(R28,-10))</f>
        <v>45915</v>
      </c>
      <c r="S77" s="122">
        <f t="shared" si="20"/>
        <v>0</v>
      </c>
      <c r="T77" s="121">
        <f t="shared" si="9"/>
        <v>45915</v>
      </c>
      <c r="U77" s="109">
        <f t="shared" si="10"/>
        <v>0</v>
      </c>
    </row>
    <row r="78" spans="1:21">
      <c r="B78" s="46" t="s">
        <v>143</v>
      </c>
      <c r="E78" s="38"/>
      <c r="F78" s="38"/>
      <c r="G78" s="38"/>
      <c r="K78" s="115"/>
      <c r="L78" s="96"/>
      <c r="M78" s="96"/>
      <c r="N78" s="96"/>
      <c r="O78" s="96"/>
      <c r="P78" s="96"/>
      <c r="Q78" s="96"/>
      <c r="R78" s="121">
        <f>AVERAGE(EOMONTH(R28,-8),EOMONTH(R28,-9))</f>
        <v>45945.5</v>
      </c>
      <c r="S78" s="122">
        <f t="shared" si="20"/>
        <v>0</v>
      </c>
      <c r="T78" s="121">
        <f t="shared" si="9"/>
        <v>45945.5</v>
      </c>
      <c r="U78" s="109">
        <f t="shared" si="10"/>
        <v>0</v>
      </c>
    </row>
    <row r="79" spans="1:21">
      <c r="K79" s="115"/>
      <c r="L79" s="96"/>
      <c r="M79" s="96"/>
      <c r="N79" s="96"/>
      <c r="O79" s="96"/>
      <c r="P79" s="96"/>
      <c r="Q79" s="96"/>
      <c r="R79" s="121">
        <f>AVERAGE(EOMONTH(R28,-7),EOMONTH(R28,-8))</f>
        <v>45976</v>
      </c>
      <c r="S79" s="122">
        <f t="shared" si="20"/>
        <v>0</v>
      </c>
      <c r="T79" s="121">
        <f t="shared" si="9"/>
        <v>45976</v>
      </c>
      <c r="U79" s="109">
        <f t="shared" si="10"/>
        <v>0</v>
      </c>
    </row>
    <row r="80" spans="1:21">
      <c r="K80" s="115"/>
      <c r="L80" s="96"/>
      <c r="M80" s="96"/>
      <c r="N80" s="96"/>
      <c r="O80" s="96"/>
      <c r="P80" s="96"/>
      <c r="Q80" s="96"/>
      <c r="R80" s="121">
        <f>AVERAGE(EOMONTH(R28,-6),EOMONTH(R28,-7))</f>
        <v>46006.5</v>
      </c>
      <c r="S80" s="122">
        <f t="shared" si="20"/>
        <v>0</v>
      </c>
      <c r="T80" s="121">
        <f t="shared" si="9"/>
        <v>46006.5</v>
      </c>
      <c r="U80" s="109">
        <f t="shared" si="10"/>
        <v>0</v>
      </c>
    </row>
    <row r="81" spans="1:21" ht="21">
      <c r="B81" s="3" t="s">
        <v>144</v>
      </c>
      <c r="K81" s="115"/>
      <c r="L81" s="96"/>
      <c r="M81" s="96"/>
      <c r="N81" s="96"/>
      <c r="O81" s="96"/>
      <c r="P81" s="96"/>
      <c r="Q81" s="96"/>
      <c r="R81" s="121">
        <f>AVERAGE(EOMONTH(R28,-5),EOMONTH(R28,-6))</f>
        <v>46037.5</v>
      </c>
      <c r="S81" s="122">
        <f t="shared" si="20"/>
        <v>0</v>
      </c>
      <c r="T81" s="121">
        <f t="shared" si="9"/>
        <v>46037.5</v>
      </c>
      <c r="U81" s="109">
        <f t="shared" si="10"/>
        <v>0</v>
      </c>
    </row>
    <row r="82" spans="1:21">
      <c r="A82" s="221" t="s">
        <v>80</v>
      </c>
      <c r="B82" s="222" t="s">
        <v>81</v>
      </c>
      <c r="C82" s="222" t="s">
        <v>82</v>
      </c>
      <c r="D82" s="5" t="s">
        <v>83</v>
      </c>
      <c r="E82" s="5" t="s">
        <v>145</v>
      </c>
      <c r="K82" s="115"/>
      <c r="L82" s="96"/>
      <c r="M82" s="96"/>
      <c r="N82" s="96"/>
      <c r="O82" s="96"/>
      <c r="P82" s="96"/>
      <c r="Q82" s="96"/>
      <c r="R82" s="121">
        <f>AVERAGE(EOMONTH(R28,-4),EOMONTH(R28,-5))</f>
        <v>46067</v>
      </c>
      <c r="S82" s="122">
        <f t="shared" si="20"/>
        <v>0</v>
      </c>
      <c r="T82" s="121">
        <f t="shared" si="9"/>
        <v>46067</v>
      </c>
      <c r="U82" s="109">
        <f t="shared" si="10"/>
        <v>0</v>
      </c>
    </row>
    <row r="83" spans="1:21">
      <c r="A83" s="215" t="s">
        <v>144</v>
      </c>
      <c r="B83" s="215">
        <f>ROW()</f>
        <v>83</v>
      </c>
      <c r="C83" s="215"/>
      <c r="D83" s="220" t="s">
        <v>146</v>
      </c>
      <c r="E83" s="54">
        <v>148</v>
      </c>
      <c r="K83" s="115"/>
      <c r="L83" s="96"/>
      <c r="M83" s="96"/>
      <c r="N83" s="96"/>
      <c r="O83" s="96"/>
      <c r="P83" s="96"/>
      <c r="Q83" s="96"/>
      <c r="R83" s="121">
        <f>AVERAGE(EOMONTH(R28,-3),EOMONTH(R28,-4))</f>
        <v>46096.5</v>
      </c>
      <c r="S83" s="122">
        <f t="shared" si="20"/>
        <v>0</v>
      </c>
      <c r="T83" s="121">
        <f t="shared" si="9"/>
        <v>46096.5</v>
      </c>
      <c r="U83" s="109">
        <f t="shared" si="10"/>
        <v>0</v>
      </c>
    </row>
    <row r="84" spans="1:21">
      <c r="A84" s="215" t="s">
        <v>144</v>
      </c>
      <c r="B84" s="215">
        <f>ROW()</f>
        <v>84</v>
      </c>
      <c r="C84" s="215"/>
      <c r="D84" s="220" t="s">
        <v>147</v>
      </c>
      <c r="E84" s="54">
        <v>182</v>
      </c>
      <c r="K84" s="115"/>
      <c r="L84" s="96"/>
      <c r="M84" s="96"/>
      <c r="N84" s="96"/>
      <c r="O84" s="96"/>
      <c r="P84" s="96"/>
      <c r="Q84" s="96"/>
      <c r="R84" s="121">
        <f>AVERAGE(EOMONTH(R28,-2),EOMONTH(R28,-3))</f>
        <v>46127</v>
      </c>
      <c r="S84" s="122">
        <f t="shared" si="20"/>
        <v>0</v>
      </c>
      <c r="T84" s="121">
        <f t="shared" si="9"/>
        <v>46127</v>
      </c>
      <c r="U84" s="109">
        <f t="shared" si="10"/>
        <v>0</v>
      </c>
    </row>
    <row r="85" spans="1:21">
      <c r="K85" s="115"/>
      <c r="L85" s="96"/>
      <c r="M85" s="96"/>
      <c r="N85" s="96"/>
      <c r="O85" s="96"/>
      <c r="P85" s="96"/>
      <c r="Q85" s="96"/>
      <c r="R85" s="121">
        <f>AVERAGE(EOMONTH(R28,-1),EOMONTH(R28,-2))</f>
        <v>46157.5</v>
      </c>
      <c r="S85" s="122">
        <f t="shared" si="20"/>
        <v>0</v>
      </c>
      <c r="T85" s="121">
        <f t="shared" si="9"/>
        <v>46157.5</v>
      </c>
      <c r="U85" s="109">
        <f t="shared" si="10"/>
        <v>0</v>
      </c>
    </row>
    <row r="86" spans="1:21">
      <c r="K86" s="115"/>
      <c r="L86" s="96"/>
      <c r="M86" s="96"/>
      <c r="N86" s="96"/>
      <c r="O86" s="96"/>
      <c r="P86" s="96"/>
      <c r="Q86" s="96"/>
      <c r="R86" s="121">
        <f>AVERAGE(R28,EOMONTH(R28,-1))</f>
        <v>46188</v>
      </c>
      <c r="S86" s="122">
        <f t="shared" si="20"/>
        <v>0</v>
      </c>
      <c r="T86" s="121">
        <f t="shared" si="9"/>
        <v>46188</v>
      </c>
      <c r="U86" s="109">
        <f>S86</f>
        <v>0</v>
      </c>
    </row>
    <row r="87" spans="1:21">
      <c r="K87" s="115"/>
      <c r="L87" s="96"/>
      <c r="M87" s="96"/>
      <c r="N87" s="96"/>
      <c r="O87" s="96"/>
      <c r="P87" s="96"/>
      <c r="Q87" s="96"/>
      <c r="R87" s="121">
        <f>R28</f>
        <v>46203</v>
      </c>
      <c r="S87" s="122">
        <f>H66</f>
        <v>0</v>
      </c>
      <c r="T87" s="121">
        <f>T28-E84</f>
        <v>46386</v>
      </c>
      <c r="U87" s="109">
        <f>I61-I62-I63</f>
        <v>0</v>
      </c>
    </row>
    <row r="88" spans="1:21">
      <c r="K88" s="115"/>
      <c r="L88" s="96"/>
      <c r="M88" s="96"/>
      <c r="N88" s="96"/>
      <c r="O88" s="96"/>
      <c r="P88" s="96"/>
      <c r="Q88" s="96"/>
      <c r="R88" s="96"/>
      <c r="S88" s="96"/>
      <c r="T88" s="121">
        <f>T28-E83</f>
        <v>46420</v>
      </c>
      <c r="U88" s="109">
        <f>I48</f>
        <v>0</v>
      </c>
    </row>
    <row r="89" spans="1:21">
      <c r="K89" s="115"/>
      <c r="L89" s="96"/>
      <c r="M89" s="96"/>
      <c r="N89" s="96"/>
      <c r="O89" s="96"/>
      <c r="P89" s="96"/>
      <c r="Q89" s="96"/>
      <c r="R89" s="96"/>
      <c r="S89" s="96"/>
      <c r="T89" s="121">
        <f>AVERAGE(EOMONTH(T28,-11),EOMONTH(T28,-12))</f>
        <v>46218.5</v>
      </c>
      <c r="U89" s="109">
        <f>-I49</f>
        <v>0</v>
      </c>
    </row>
    <row r="90" spans="1:21">
      <c r="K90" s="115"/>
      <c r="L90" s="96"/>
      <c r="M90" s="96"/>
      <c r="N90" s="96"/>
      <c r="O90" s="96"/>
      <c r="P90" s="96"/>
      <c r="Q90" s="96"/>
      <c r="R90" s="96"/>
      <c r="S90" s="96"/>
      <c r="T90" s="121">
        <f>AVERAGE(EOMONTH(T28,-10),EOMONTH(T28,-11))</f>
        <v>46249.5</v>
      </c>
      <c r="U90" s="109">
        <f t="shared" ref="U90:U99" si="21">-I50</f>
        <v>0</v>
      </c>
    </row>
    <row r="91" spans="1:21">
      <c r="K91" s="115"/>
      <c r="L91" s="96"/>
      <c r="M91" s="96"/>
      <c r="N91" s="96"/>
      <c r="O91" s="96"/>
      <c r="P91" s="96"/>
      <c r="Q91" s="96"/>
      <c r="R91" s="96"/>
      <c r="S91" s="96"/>
      <c r="T91" s="121">
        <f>AVERAGE(EOMONTH(T28,-9),EOMONTH(T28,-10))</f>
        <v>46280</v>
      </c>
      <c r="U91" s="109">
        <f t="shared" si="21"/>
        <v>0</v>
      </c>
    </row>
    <row r="92" spans="1:21">
      <c r="K92" s="115"/>
      <c r="L92" s="96"/>
      <c r="M92" s="96"/>
      <c r="N92" s="96"/>
      <c r="O92" s="96"/>
      <c r="P92" s="96"/>
      <c r="Q92" s="96"/>
      <c r="R92" s="96"/>
      <c r="S92" s="96"/>
      <c r="T92" s="121">
        <f>AVERAGE(EOMONTH(T28,-8),EOMONTH(T28,-9))</f>
        <v>46310.5</v>
      </c>
      <c r="U92" s="109">
        <f t="shared" si="21"/>
        <v>0</v>
      </c>
    </row>
    <row r="93" spans="1:21">
      <c r="K93" s="115"/>
      <c r="L93" s="96"/>
      <c r="M93" s="96"/>
      <c r="N93" s="96"/>
      <c r="O93" s="96"/>
      <c r="P93" s="96"/>
      <c r="Q93" s="96"/>
      <c r="R93" s="96"/>
      <c r="S93" s="96"/>
      <c r="T93" s="121">
        <f>AVERAGE(EOMONTH(T28,-7),EOMONTH(T28,-8))</f>
        <v>46341</v>
      </c>
      <c r="U93" s="109">
        <f t="shared" si="21"/>
        <v>0</v>
      </c>
    </row>
    <row r="94" spans="1:21">
      <c r="K94" s="115"/>
      <c r="L94" s="96"/>
      <c r="M94" s="96"/>
      <c r="N94" s="96"/>
      <c r="O94" s="96"/>
      <c r="P94" s="96"/>
      <c r="Q94" s="96"/>
      <c r="R94" s="96"/>
      <c r="S94" s="96"/>
      <c r="T94" s="121">
        <f>AVERAGE(EOMONTH(T28,-6),EOMONTH(T28,-7))</f>
        <v>46371.5</v>
      </c>
      <c r="U94" s="109">
        <f t="shared" si="21"/>
        <v>0</v>
      </c>
    </row>
    <row r="95" spans="1:21">
      <c r="K95" s="115"/>
      <c r="L95" s="96"/>
      <c r="M95" s="96"/>
      <c r="N95" s="96"/>
      <c r="O95" s="96"/>
      <c r="P95" s="96"/>
      <c r="Q95" s="96"/>
      <c r="R95" s="96"/>
      <c r="S95" s="96"/>
      <c r="T95" s="121">
        <f>AVERAGE(EOMONTH(T28,-5),EOMONTH(T28,-6))</f>
        <v>46402.5</v>
      </c>
      <c r="U95" s="109">
        <f t="shared" si="21"/>
        <v>0</v>
      </c>
    </row>
    <row r="96" spans="1:21">
      <c r="K96" s="115"/>
      <c r="L96" s="96"/>
      <c r="M96" s="96"/>
      <c r="N96" s="96"/>
      <c r="O96" s="96"/>
      <c r="P96" s="96"/>
      <c r="Q96" s="96"/>
      <c r="R96" s="96"/>
      <c r="S96" s="96"/>
      <c r="T96" s="121">
        <f>AVERAGE(EOMONTH(T28,-4),EOMONTH(T28,-5))</f>
        <v>46432</v>
      </c>
      <c r="U96" s="109">
        <f t="shared" si="21"/>
        <v>0</v>
      </c>
    </row>
    <row r="97" spans="11:21">
      <c r="K97" s="115"/>
      <c r="L97" s="96"/>
      <c r="M97" s="96"/>
      <c r="N97" s="96"/>
      <c r="O97" s="96"/>
      <c r="P97" s="96"/>
      <c r="Q97" s="96"/>
      <c r="R97" s="96"/>
      <c r="S97" s="96"/>
      <c r="T97" s="121">
        <f>AVERAGE(EOMONTH(T28,-3),EOMONTH(T28,-4))</f>
        <v>46461.5</v>
      </c>
      <c r="U97" s="109">
        <f t="shared" si="21"/>
        <v>0</v>
      </c>
    </row>
    <row r="98" spans="11:21">
      <c r="K98" s="115"/>
      <c r="L98" s="96"/>
      <c r="M98" s="96"/>
      <c r="N98" s="96"/>
      <c r="O98" s="96"/>
      <c r="P98" s="96"/>
      <c r="Q98" s="96"/>
      <c r="R98" s="96"/>
      <c r="S98" s="96"/>
      <c r="T98" s="121">
        <f>AVERAGE(EOMONTH(T28,-2),EOMONTH(T28,-3))</f>
        <v>46492</v>
      </c>
      <c r="U98" s="109">
        <f t="shared" si="21"/>
        <v>0</v>
      </c>
    </row>
    <row r="99" spans="11:21">
      <c r="K99" s="115"/>
      <c r="L99" s="96"/>
      <c r="M99" s="96"/>
      <c r="N99" s="96"/>
      <c r="O99" s="96"/>
      <c r="P99" s="96"/>
      <c r="Q99" s="96"/>
      <c r="R99" s="96"/>
      <c r="S99" s="96"/>
      <c r="T99" s="121">
        <f>AVERAGE(EOMONTH(T28,-1),EOMONTH(T28,-2))</f>
        <v>46522.5</v>
      </c>
      <c r="U99" s="109">
        <f t="shared" si="21"/>
        <v>0</v>
      </c>
    </row>
    <row r="100" spans="11:21">
      <c r="K100" s="115"/>
      <c r="L100" s="96"/>
      <c r="M100" s="96"/>
      <c r="N100" s="96"/>
      <c r="O100" s="96"/>
      <c r="P100" s="96"/>
      <c r="Q100" s="96"/>
      <c r="R100" s="96"/>
      <c r="S100" s="96"/>
      <c r="T100" s="121">
        <f>AVERAGE(T28,EOMONTH(T28,-1))</f>
        <v>46553</v>
      </c>
      <c r="U100" s="109">
        <f>-I60</f>
        <v>0</v>
      </c>
    </row>
    <row r="101" spans="11:21" ht="15" thickBot="1">
      <c r="K101" s="115"/>
      <c r="L101" s="96"/>
      <c r="M101" s="96"/>
      <c r="N101" s="96"/>
      <c r="O101" s="96"/>
      <c r="P101" s="96"/>
      <c r="Q101" s="96"/>
      <c r="R101" s="96"/>
      <c r="S101" s="96"/>
      <c r="T101" s="121">
        <f>T28</f>
        <v>46568</v>
      </c>
      <c r="U101" s="109">
        <f>I66</f>
        <v>0</v>
      </c>
    </row>
    <row r="102" spans="11:21" ht="15" thickBot="1">
      <c r="K102" s="123" t="s">
        <v>148</v>
      </c>
      <c r="L102" s="124"/>
      <c r="M102" s="111" t="str">
        <f>IFERROR(XIRR(M30:M45,L30:L45,7%),"")</f>
        <v/>
      </c>
      <c r="N102" s="124"/>
      <c r="O102" s="111" t="str">
        <f>IFERROR(XIRR(O30:O59,N30:N59,7%),"")</f>
        <v/>
      </c>
      <c r="P102" s="124"/>
      <c r="Q102" s="111" t="str">
        <f>IFERROR(XIRR(Q30:Q73,P30:P73,7%),"")</f>
        <v/>
      </c>
      <c r="R102" s="124"/>
      <c r="S102" s="111" t="str">
        <f>IFERROR(XIRR(S30:S87,R30:R87,7%),"")</f>
        <v/>
      </c>
      <c r="T102" s="124"/>
      <c r="U102" s="111" t="str">
        <f>IFERROR(XIRR(U30:U101,T30:T101,7%),"")</f>
        <v/>
      </c>
    </row>
  </sheetData>
  <phoneticPr fontId="12" type="noConversion"/>
  <pageMargins left="0.25" right="0.25" top="0.75" bottom="0.75" header="0.3" footer="0.3"/>
  <pageSetup paperSize="9" scale="53" fitToHeight="0" orientation="portrait" r:id="rId1"/>
  <colBreaks count="1" manualBreakCount="1">
    <brk id="9" min="42" max="83" man="1"/>
  </colBreaks>
  <ignoredErrors>
    <ignoredError sqref="B46" unlockedFormula="1"/>
    <ignoredError sqref="G76" calculatedColumn="1"/>
  </ignoredErrors>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A7E9E-A296-4CB2-A843-BFFA76662AA6}">
  <sheetPr>
    <pageSetUpPr fitToPage="1"/>
  </sheetPr>
  <dimension ref="A1:H37"/>
  <sheetViews>
    <sheetView showGridLines="0" view="pageBreakPreview" topLeftCell="B1" zoomScaleNormal="100" zoomScaleSheetLayoutView="100" workbookViewId="0">
      <selection activeCell="B19" sqref="B19"/>
    </sheetView>
  </sheetViews>
  <sheetFormatPr defaultRowHeight="14.5"/>
  <cols>
    <col min="1" max="1" width="26.81640625" hidden="1" customWidth="1"/>
    <col min="2" max="2" width="6.54296875" customWidth="1"/>
    <col min="4" max="4" width="30.54296875" bestFit="1" customWidth="1"/>
    <col min="5" max="5" width="35.7265625" bestFit="1" customWidth="1"/>
    <col min="6" max="6" width="16.7265625" customWidth="1"/>
    <col min="7" max="7" width="16.453125" customWidth="1"/>
    <col min="8" max="8" width="16.26953125" customWidth="1"/>
    <col min="9" max="9" width="7.1796875" customWidth="1"/>
    <col min="10" max="10" width="2.7265625" customWidth="1"/>
  </cols>
  <sheetData>
    <row r="1" spans="1:8" ht="21">
      <c r="B1" s="224" t="str">
        <f>_company_name&amp;"    |     Pricing period starting year - "&amp;TEXT(_pp_starting_year,"dd mmmm yyyy")&amp;"    |     Disclosure year - "&amp;TEXT(_dy_year_ended,"yyyy")</f>
        <v>[select name of the airport]    |     Pricing period starting year - 30 June 2023    |     Disclosure year - 2026</v>
      </c>
    </row>
    <row r="2" spans="1:8" ht="23.5">
      <c r="B2" s="53"/>
    </row>
    <row r="3" spans="1:8" ht="23.5">
      <c r="B3" s="1" t="s">
        <v>149</v>
      </c>
    </row>
    <row r="4" spans="1:8" ht="21">
      <c r="B4" s="3" t="s">
        <v>150</v>
      </c>
    </row>
    <row r="5" spans="1:8" ht="43.5">
      <c r="A5" s="221" t="s">
        <v>80</v>
      </c>
      <c r="B5" s="222" t="s">
        <v>81</v>
      </c>
      <c r="C5" s="223" t="s">
        <v>82</v>
      </c>
      <c r="D5" s="6" t="s">
        <v>83</v>
      </c>
      <c r="E5" s="6" t="s">
        <v>151</v>
      </c>
      <c r="F5" s="6" t="s">
        <v>152</v>
      </c>
      <c r="G5" s="6" t="s">
        <v>153</v>
      </c>
      <c r="H5" s="8" t="s">
        <v>154</v>
      </c>
    </row>
    <row r="6" spans="1:8">
      <c r="A6" s="215" t="s">
        <v>150</v>
      </c>
      <c r="B6" s="215">
        <f>ROW()</f>
        <v>6</v>
      </c>
      <c r="C6" s="215"/>
      <c r="D6" s="220" t="s">
        <v>155</v>
      </c>
      <c r="E6" s="71" t="s">
        <v>156</v>
      </c>
      <c r="F6" s="54"/>
      <c r="G6" s="54"/>
      <c r="H6" s="47" t="str">
        <f>IF(OR(F6="",G6=""),"",F6-G6)</f>
        <v/>
      </c>
    </row>
    <row r="7" spans="1:8">
      <c r="A7" s="215" t="s">
        <v>150</v>
      </c>
      <c r="B7" s="215">
        <f>ROW()</f>
        <v>7</v>
      </c>
      <c r="C7" s="215"/>
      <c r="D7" s="220" t="s">
        <v>155</v>
      </c>
      <c r="E7" s="72" t="s">
        <v>157</v>
      </c>
      <c r="F7" s="54"/>
      <c r="G7" s="54"/>
      <c r="H7" s="47" t="str">
        <f t="shared" ref="H7:H26" si="0">IF(OR(F7="",G7=""),"",F7-G7)</f>
        <v/>
      </c>
    </row>
    <row r="8" spans="1:8">
      <c r="A8" s="215" t="s">
        <v>150</v>
      </c>
      <c r="B8" s="215">
        <f>ROW()</f>
        <v>8</v>
      </c>
      <c r="C8" s="215"/>
      <c r="D8" s="220" t="s">
        <v>155</v>
      </c>
      <c r="E8" s="72" t="s">
        <v>158</v>
      </c>
      <c r="F8" s="54"/>
      <c r="G8" s="54"/>
      <c r="H8" s="47" t="str">
        <f>IF(OR(F8="",G8=""),"",F8-G8)</f>
        <v/>
      </c>
    </row>
    <row r="9" spans="1:8">
      <c r="A9" s="215" t="s">
        <v>150</v>
      </c>
      <c r="B9" s="215">
        <f>ROW()</f>
        <v>9</v>
      </c>
      <c r="C9" s="215"/>
      <c r="D9" s="220" t="s">
        <v>155</v>
      </c>
      <c r="E9" s="72" t="s">
        <v>159</v>
      </c>
      <c r="F9" s="54"/>
      <c r="G9" s="54"/>
      <c r="H9" s="47" t="str">
        <f t="shared" si="0"/>
        <v/>
      </c>
    </row>
    <row r="10" spans="1:8">
      <c r="A10" s="215" t="s">
        <v>150</v>
      </c>
      <c r="B10" s="215">
        <f>ROW()</f>
        <v>10</v>
      </c>
      <c r="C10" s="215"/>
      <c r="D10" s="220" t="s">
        <v>155</v>
      </c>
      <c r="E10" s="220" t="s">
        <v>160</v>
      </c>
      <c r="F10" s="54"/>
      <c r="G10" s="54"/>
      <c r="H10" s="47" t="str">
        <f>IF(OR(F10="",G10=""),"",F10-G10)</f>
        <v/>
      </c>
    </row>
    <row r="11" spans="1:8" ht="15" thickBot="1">
      <c r="A11" s="215" t="s">
        <v>150</v>
      </c>
      <c r="B11" s="215">
        <f>ROW()</f>
        <v>11</v>
      </c>
      <c r="C11" s="215"/>
      <c r="D11" s="220" t="s">
        <v>155</v>
      </c>
      <c r="E11" s="220" t="s">
        <v>161</v>
      </c>
      <c r="F11" s="54"/>
      <c r="G11" s="54"/>
      <c r="H11" s="47" t="str">
        <f t="shared" si="0"/>
        <v/>
      </c>
    </row>
    <row r="12" spans="1:8" ht="15" thickBot="1">
      <c r="A12" s="215" t="s">
        <v>150</v>
      </c>
      <c r="B12" s="215">
        <f>ROW()</f>
        <v>12</v>
      </c>
      <c r="C12" s="215"/>
      <c r="D12" s="219" t="s">
        <v>155</v>
      </c>
      <c r="E12" s="219" t="s">
        <v>162</v>
      </c>
      <c r="F12" s="144">
        <f>SUM(F6:F11)</f>
        <v>0</v>
      </c>
      <c r="G12" s="144">
        <f>SUM(G6:G11)</f>
        <v>0</v>
      </c>
      <c r="H12" s="143">
        <f t="shared" si="0"/>
        <v>0</v>
      </c>
    </row>
    <row r="13" spans="1:8">
      <c r="A13" s="215" t="s">
        <v>150</v>
      </c>
      <c r="B13" s="215">
        <f>ROW()</f>
        <v>13</v>
      </c>
      <c r="C13" s="215"/>
      <c r="D13" s="220" t="s">
        <v>155</v>
      </c>
      <c r="E13" s="220" t="s">
        <v>163</v>
      </c>
      <c r="F13" s="54"/>
      <c r="G13" s="54"/>
      <c r="H13" s="47" t="str">
        <f t="shared" si="0"/>
        <v/>
      </c>
    </row>
    <row r="14" spans="1:8" ht="15" thickBot="1">
      <c r="A14" s="215" t="s">
        <v>150</v>
      </c>
      <c r="B14" s="215">
        <f>ROW()</f>
        <v>14</v>
      </c>
      <c r="C14" s="215"/>
      <c r="D14" s="220" t="s">
        <v>155</v>
      </c>
      <c r="E14" s="220" t="s">
        <v>164</v>
      </c>
      <c r="F14" s="54"/>
      <c r="G14" s="54"/>
      <c r="H14" s="47" t="str">
        <f t="shared" si="0"/>
        <v/>
      </c>
    </row>
    <row r="15" spans="1:8" ht="15" thickBot="1">
      <c r="A15" s="215" t="s">
        <v>150</v>
      </c>
      <c r="B15" s="215">
        <f>ROW()</f>
        <v>15</v>
      </c>
      <c r="C15" s="215"/>
      <c r="D15" s="42" t="s">
        <v>155</v>
      </c>
      <c r="E15" s="42" t="s">
        <v>101</v>
      </c>
      <c r="F15" s="144">
        <f>F12+F13+F14</f>
        <v>0</v>
      </c>
      <c r="G15" s="145">
        <f>G12+G13+G14</f>
        <v>0</v>
      </c>
      <c r="H15" s="146">
        <f t="shared" si="0"/>
        <v>0</v>
      </c>
    </row>
    <row r="16" spans="1:8">
      <c r="A16" s="215" t="s">
        <v>150</v>
      </c>
      <c r="B16" s="215">
        <f>ROW()</f>
        <v>16</v>
      </c>
      <c r="C16" s="215"/>
      <c r="D16" s="220" t="s">
        <v>165</v>
      </c>
      <c r="E16" s="220" t="s">
        <v>166</v>
      </c>
      <c r="F16" s="54"/>
      <c r="G16" s="54"/>
      <c r="H16" s="47" t="str">
        <f t="shared" si="0"/>
        <v/>
      </c>
    </row>
    <row r="17" spans="1:8">
      <c r="A17" s="215" t="s">
        <v>150</v>
      </c>
      <c r="B17" s="215">
        <f>ROW()</f>
        <v>17</v>
      </c>
      <c r="C17" s="215"/>
      <c r="D17" s="220" t="s">
        <v>165</v>
      </c>
      <c r="E17" s="220" t="s">
        <v>167</v>
      </c>
      <c r="F17" s="54"/>
      <c r="G17" s="54"/>
      <c r="H17" s="47" t="str">
        <f t="shared" si="0"/>
        <v/>
      </c>
    </row>
    <row r="18" spans="1:8" ht="15" thickBot="1">
      <c r="A18" s="215" t="s">
        <v>150</v>
      </c>
      <c r="B18" s="215">
        <f>ROW()</f>
        <v>18</v>
      </c>
      <c r="C18" s="215"/>
      <c r="D18" s="220" t="s">
        <v>165</v>
      </c>
      <c r="E18" s="220" t="s">
        <v>168</v>
      </c>
      <c r="F18" s="54"/>
      <c r="G18" s="54"/>
      <c r="H18" s="47" t="str">
        <f t="shared" si="0"/>
        <v/>
      </c>
    </row>
    <row r="19" spans="1:8" ht="15" thickBot="1">
      <c r="A19" s="215" t="s">
        <v>150</v>
      </c>
      <c r="B19" s="215">
        <f>ROW()</f>
        <v>19</v>
      </c>
      <c r="C19" s="215"/>
      <c r="D19" s="219" t="s">
        <v>165</v>
      </c>
      <c r="E19" s="219" t="s">
        <v>169</v>
      </c>
      <c r="F19" s="147">
        <f>SUM(F16:F18)</f>
        <v>0</v>
      </c>
      <c r="G19" s="147">
        <f>SUM(G16:G18)</f>
        <v>0</v>
      </c>
      <c r="H19" s="148">
        <f t="shared" si="0"/>
        <v>0</v>
      </c>
    </row>
    <row r="20" spans="1:8" ht="15" thickBot="1">
      <c r="A20" s="215" t="s">
        <v>150</v>
      </c>
      <c r="B20" s="215">
        <f>ROW()</f>
        <v>20</v>
      </c>
      <c r="C20" s="215"/>
      <c r="D20" s="219" t="s">
        <v>170</v>
      </c>
      <c r="E20" s="219"/>
      <c r="F20" s="149">
        <f>F15-F19</f>
        <v>0</v>
      </c>
      <c r="G20" s="145">
        <f>G15-G19</f>
        <v>0</v>
      </c>
      <c r="H20" s="146">
        <f t="shared" si="0"/>
        <v>0</v>
      </c>
    </row>
    <row r="21" spans="1:8">
      <c r="A21" s="215" t="s">
        <v>150</v>
      </c>
      <c r="B21" s="215">
        <f>ROW()</f>
        <v>21</v>
      </c>
      <c r="C21" s="215"/>
      <c r="D21" s="220" t="s">
        <v>170</v>
      </c>
      <c r="E21" s="220" t="s">
        <v>171</v>
      </c>
      <c r="F21" s="47">
        <f>'S4.RAB Roll-Forward'!F42</f>
        <v>0</v>
      </c>
      <c r="G21" s="47">
        <f>'S4.RAB Roll-Forward'!F7</f>
        <v>0</v>
      </c>
      <c r="H21" s="47">
        <f>IF(OR(F21="",G21=""),"",F21-G21)</f>
        <v>0</v>
      </c>
    </row>
    <row r="22" spans="1:8">
      <c r="A22" s="215" t="s">
        <v>150</v>
      </c>
      <c r="B22" s="215">
        <f>ROW()</f>
        <v>22</v>
      </c>
      <c r="C22" s="215" t="s">
        <v>100</v>
      </c>
      <c r="D22" s="220" t="s">
        <v>170</v>
      </c>
      <c r="E22" s="220" t="s">
        <v>172</v>
      </c>
      <c r="F22" s="47">
        <f>'S4.RAB Roll-Forward'!F20</f>
        <v>0</v>
      </c>
      <c r="G22" s="54"/>
      <c r="H22" s="47" t="str">
        <f>IF(OR(F22="",G22=""),"",F22-G22)</f>
        <v/>
      </c>
    </row>
    <row r="23" spans="1:8" ht="15" thickBot="1">
      <c r="A23" s="215" t="s">
        <v>150</v>
      </c>
      <c r="B23" s="215">
        <f>ROW()</f>
        <v>23</v>
      </c>
      <c r="C23" s="215" t="s">
        <v>100</v>
      </c>
      <c r="D23" s="220" t="s">
        <v>170</v>
      </c>
      <c r="E23" s="220" t="s">
        <v>173</v>
      </c>
      <c r="F23" s="47">
        <f>'S4.RAB Roll-Forward'!F21</f>
        <v>0</v>
      </c>
      <c r="G23" s="54"/>
      <c r="H23" s="47" t="str">
        <f t="shared" si="0"/>
        <v/>
      </c>
    </row>
    <row r="24" spans="1:8" ht="15" thickBot="1">
      <c r="A24" s="215" t="s">
        <v>150</v>
      </c>
      <c r="B24" s="215">
        <f>ROW()</f>
        <v>24</v>
      </c>
      <c r="C24" s="215"/>
      <c r="D24" s="219" t="s">
        <v>170</v>
      </c>
      <c r="E24" s="219" t="s">
        <v>174</v>
      </c>
      <c r="F24" s="147">
        <f>SUM(F22:F23)</f>
        <v>0</v>
      </c>
      <c r="G24" s="147">
        <f>SUM(G22:G23)</f>
        <v>0</v>
      </c>
      <c r="H24" s="148">
        <f t="shared" si="0"/>
        <v>0</v>
      </c>
    </row>
    <row r="25" spans="1:8" ht="15" thickBot="1">
      <c r="A25" s="215" t="s">
        <v>150</v>
      </c>
      <c r="B25" s="215">
        <f>ROW()</f>
        <v>25</v>
      </c>
      <c r="C25" s="215"/>
      <c r="D25" s="219" t="s">
        <v>175</v>
      </c>
      <c r="E25" s="219"/>
      <c r="F25" s="144">
        <f>F20-F21+F24</f>
        <v>0</v>
      </c>
      <c r="G25" s="144">
        <f>G20-G21+G24</f>
        <v>0</v>
      </c>
      <c r="H25" s="143">
        <f>IF(OR(F25="",G25=""),"",F25-G25)</f>
        <v>0</v>
      </c>
    </row>
    <row r="26" spans="1:8" ht="15" thickBot="1">
      <c r="A26" s="215" t="s">
        <v>150</v>
      </c>
      <c r="B26" s="215">
        <f>ROW()</f>
        <v>26</v>
      </c>
      <c r="C26" s="215" t="s">
        <v>102</v>
      </c>
      <c r="D26" s="219" t="s">
        <v>175</v>
      </c>
      <c r="E26" s="219" t="s">
        <v>176</v>
      </c>
      <c r="F26" s="73">
        <f>'S3.Tax Allowance'!E21</f>
        <v>0</v>
      </c>
      <c r="G26" s="75"/>
      <c r="H26" s="73" t="str">
        <f t="shared" si="0"/>
        <v/>
      </c>
    </row>
    <row r="27" spans="1:8" ht="15" thickBot="1">
      <c r="A27" s="215" t="s">
        <v>150</v>
      </c>
      <c r="B27" s="215">
        <f>ROW()</f>
        <v>27</v>
      </c>
      <c r="C27" s="215"/>
      <c r="D27" s="219" t="s">
        <v>177</v>
      </c>
      <c r="E27" s="219"/>
      <c r="F27" s="150">
        <f>F25-F26</f>
        <v>0</v>
      </c>
      <c r="G27" s="152">
        <f>G25-G26</f>
        <v>0</v>
      </c>
      <c r="H27" s="151">
        <f>IF(OR(F27="",G27=""),"",F27-G27)</f>
        <v>0</v>
      </c>
    </row>
    <row r="30" spans="1:8" ht="21">
      <c r="B30" s="3" t="s">
        <v>178</v>
      </c>
    </row>
    <row r="31" spans="1:8">
      <c r="A31" s="221" t="s">
        <v>80</v>
      </c>
      <c r="B31" s="222" t="s">
        <v>81</v>
      </c>
      <c r="C31" s="222" t="s">
        <v>82</v>
      </c>
      <c r="D31" s="5" t="s">
        <v>83</v>
      </c>
      <c r="E31" s="5" t="s">
        <v>151</v>
      </c>
      <c r="F31" s="14" t="s">
        <v>179</v>
      </c>
    </row>
    <row r="32" spans="1:8">
      <c r="A32" s="215" t="s">
        <v>180</v>
      </c>
      <c r="B32" s="215">
        <f>ROW()</f>
        <v>32</v>
      </c>
      <c r="C32" s="215"/>
      <c r="D32" s="220" t="s">
        <v>181</v>
      </c>
      <c r="E32" s="220"/>
      <c r="F32" s="54"/>
    </row>
    <row r="33" spans="1:6" ht="15" thickBot="1">
      <c r="A33" s="215" t="s">
        <v>180</v>
      </c>
      <c r="B33" s="215">
        <f>ROW()</f>
        <v>33</v>
      </c>
      <c r="C33" s="215"/>
      <c r="D33" s="220" t="s">
        <v>182</v>
      </c>
      <c r="E33" s="220"/>
      <c r="F33" s="54"/>
    </row>
    <row r="34" spans="1:6" ht="15" thickBot="1">
      <c r="A34" s="215" t="s">
        <v>180</v>
      </c>
      <c r="B34" s="215">
        <f>ROW()</f>
        <v>34</v>
      </c>
      <c r="C34" s="215"/>
      <c r="D34" s="219" t="s">
        <v>183</v>
      </c>
      <c r="E34" s="219"/>
      <c r="F34" s="152">
        <f>SUM(F32:F33)</f>
        <v>0</v>
      </c>
    </row>
    <row r="35" spans="1:6">
      <c r="A35" s="215" t="s">
        <v>184</v>
      </c>
      <c r="B35" s="215">
        <f>ROW()</f>
        <v>35</v>
      </c>
      <c r="C35" s="215"/>
      <c r="D35" s="220" t="s">
        <v>185</v>
      </c>
      <c r="E35" s="220"/>
      <c r="F35" s="54"/>
    </row>
    <row r="36" spans="1:6">
      <c r="A36" s="215" t="s">
        <v>186</v>
      </c>
      <c r="B36" s="215">
        <f>ROW()</f>
        <v>36</v>
      </c>
      <c r="C36" s="215"/>
      <c r="D36" s="220" t="s">
        <v>187</v>
      </c>
      <c r="E36" s="220"/>
      <c r="F36" s="54"/>
    </row>
    <row r="37" spans="1:6">
      <c r="B37" s="45" t="s">
        <v>188</v>
      </c>
      <c r="F37" s="37"/>
    </row>
  </sheetData>
  <pageMargins left="0.25" right="0.25" top="0.75" bottom="0.75" header="0.3" footer="0.3"/>
  <pageSetup paperSize="9" scale="70" fitToHeight="0" orientation="portrait" r:id="rId1"/>
  <tableParts count="2">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AF792-A766-4EA2-A7BB-296597669990}">
  <sheetPr>
    <pageSetUpPr fitToPage="1"/>
  </sheetPr>
  <dimension ref="A1:G58"/>
  <sheetViews>
    <sheetView showGridLines="0" view="pageBreakPreview" topLeftCell="B1" zoomScaleNormal="100" zoomScaleSheetLayoutView="100" workbookViewId="0">
      <selection activeCell="B2" sqref="B2"/>
    </sheetView>
  </sheetViews>
  <sheetFormatPr defaultRowHeight="14.5"/>
  <cols>
    <col min="1" max="1" width="36.453125" hidden="1" customWidth="1"/>
    <col min="3" max="3" width="10" customWidth="1"/>
    <col min="4" max="4" width="72.453125" customWidth="1"/>
    <col min="5" max="5" width="23" customWidth="1"/>
    <col min="6" max="6" width="10.1796875" customWidth="1"/>
    <col min="7" max="7" width="13.54296875" bestFit="1" customWidth="1"/>
  </cols>
  <sheetData>
    <row r="1" spans="1:7" ht="18.5">
      <c r="B1" s="290" t="str">
        <f>_company_name&amp;"    |     Pricing period starting year - "&amp;TEXT(_pp_starting_year,"dd mmmm yyyy")&amp;"    |     Disclosure year - "&amp;TEXT(_dy_year_ended,"yyyy")</f>
        <v>[select name of the airport]    |     Pricing period starting year - 30 June 2023    |     Disclosure year - 2026</v>
      </c>
    </row>
    <row r="2" spans="1:7" ht="23.5">
      <c r="B2" s="53"/>
    </row>
    <row r="3" spans="1:7" ht="23.5">
      <c r="B3" s="1" t="s">
        <v>189</v>
      </c>
    </row>
    <row r="4" spans="1:7" ht="21">
      <c r="B4" s="3" t="s">
        <v>190</v>
      </c>
    </row>
    <row r="5" spans="1:7" ht="29">
      <c r="A5" s="221" t="s">
        <v>80</v>
      </c>
      <c r="B5" s="222" t="s">
        <v>81</v>
      </c>
      <c r="C5" s="222" t="s">
        <v>82</v>
      </c>
      <c r="D5" s="5" t="s">
        <v>83</v>
      </c>
      <c r="E5" s="14" t="s">
        <v>191</v>
      </c>
    </row>
    <row r="6" spans="1:7">
      <c r="A6" s="215" t="s">
        <v>190</v>
      </c>
      <c r="B6" s="215">
        <f>ROW()</f>
        <v>6</v>
      </c>
      <c r="C6" s="215"/>
      <c r="D6" s="220" t="s">
        <v>192</v>
      </c>
      <c r="E6" s="47">
        <f>'S2.Regulatory Profit'!F25</f>
        <v>0</v>
      </c>
    </row>
    <row r="7" spans="1:7">
      <c r="A7" s="215" t="s">
        <v>190</v>
      </c>
      <c r="B7" s="215">
        <f>ROW()</f>
        <v>7</v>
      </c>
      <c r="C7" s="215" t="s">
        <v>100</v>
      </c>
      <c r="D7" s="220" t="s">
        <v>171</v>
      </c>
      <c r="E7" s="74">
        <f>'S4.RAB Roll-Forward'!F19</f>
        <v>0</v>
      </c>
    </row>
    <row r="8" spans="1:7">
      <c r="A8" s="215" t="s">
        <v>190</v>
      </c>
      <c r="B8" s="215">
        <f>ROW()</f>
        <v>8</v>
      </c>
      <c r="C8" s="215" t="s">
        <v>100</v>
      </c>
      <c r="D8" s="220" t="s">
        <v>193</v>
      </c>
      <c r="E8" s="54"/>
      <c r="G8" s="45" t="s">
        <v>194</v>
      </c>
    </row>
    <row r="9" spans="1:7" ht="15" thickBot="1">
      <c r="A9" s="215" t="s">
        <v>190</v>
      </c>
      <c r="B9" s="215">
        <f>ROW()</f>
        <v>9</v>
      </c>
      <c r="C9" s="215" t="s">
        <v>100</v>
      </c>
      <c r="D9" s="220" t="s">
        <v>195</v>
      </c>
      <c r="E9" s="54"/>
      <c r="G9" s="45" t="s">
        <v>194</v>
      </c>
    </row>
    <row r="10" spans="1:7" ht="15" thickBot="1">
      <c r="A10" s="215" t="s">
        <v>190</v>
      </c>
      <c r="B10" s="215">
        <f>ROW()</f>
        <v>10</v>
      </c>
      <c r="C10" s="215" t="s">
        <v>100</v>
      </c>
      <c r="D10" s="219" t="s">
        <v>196</v>
      </c>
      <c r="E10" s="153">
        <f>SUM(E7:E9)</f>
        <v>0</v>
      </c>
    </row>
    <row r="11" spans="1:7">
      <c r="A11" s="215" t="s">
        <v>190</v>
      </c>
      <c r="B11" s="215">
        <f>ROW()</f>
        <v>11</v>
      </c>
      <c r="C11" s="215" t="s">
        <v>102</v>
      </c>
      <c r="D11" s="220" t="s">
        <v>174</v>
      </c>
      <c r="E11" s="74">
        <f>'S2.Regulatory Profit'!F24</f>
        <v>0</v>
      </c>
    </row>
    <row r="12" spans="1:7">
      <c r="A12" s="215" t="s">
        <v>190</v>
      </c>
      <c r="B12" s="215">
        <f>ROW()</f>
        <v>12</v>
      </c>
      <c r="C12" s="215" t="s">
        <v>102</v>
      </c>
      <c r="D12" s="220" t="s">
        <v>197</v>
      </c>
      <c r="E12" s="74">
        <f>E38</f>
        <v>0</v>
      </c>
    </row>
    <row r="13" spans="1:7">
      <c r="A13" s="215" t="s">
        <v>190</v>
      </c>
      <c r="B13" s="215">
        <f>ROW()</f>
        <v>13</v>
      </c>
      <c r="C13" s="215" t="s">
        <v>102</v>
      </c>
      <c r="D13" s="220" t="s">
        <v>198</v>
      </c>
      <c r="E13" s="74">
        <f>E56</f>
        <v>0</v>
      </c>
    </row>
    <row r="14" spans="1:7">
      <c r="A14" s="215" t="s">
        <v>190</v>
      </c>
      <c r="B14" s="215">
        <f>ROW()</f>
        <v>14</v>
      </c>
      <c r="C14" s="215" t="s">
        <v>102</v>
      </c>
      <c r="D14" s="220" t="s">
        <v>199</v>
      </c>
      <c r="E14" s="54"/>
      <c r="G14" s="45" t="s">
        <v>194</v>
      </c>
    </row>
    <row r="15" spans="1:7" ht="15" thickBot="1">
      <c r="A15" s="215" t="s">
        <v>190</v>
      </c>
      <c r="B15" s="215">
        <f>ROW()</f>
        <v>15</v>
      </c>
      <c r="C15" s="215" t="s">
        <v>102</v>
      </c>
      <c r="D15" s="220" t="s">
        <v>200</v>
      </c>
      <c r="E15" s="54"/>
      <c r="G15" s="45" t="s">
        <v>194</v>
      </c>
    </row>
    <row r="16" spans="1:7" ht="15" thickBot="1">
      <c r="A16" s="215" t="s">
        <v>190</v>
      </c>
      <c r="B16" s="215">
        <f>ROW()</f>
        <v>16</v>
      </c>
      <c r="C16" s="215" t="s">
        <v>102</v>
      </c>
      <c r="D16" s="219" t="s">
        <v>201</v>
      </c>
      <c r="E16" s="153">
        <f>SUM(E11:E15)</f>
        <v>0</v>
      </c>
    </row>
    <row r="17" spans="1:5" ht="15" thickBot="1">
      <c r="A17" s="215" t="s">
        <v>190</v>
      </c>
      <c r="B17" s="215">
        <f>ROW()</f>
        <v>17</v>
      </c>
      <c r="C17" s="215"/>
      <c r="D17" s="219" t="s">
        <v>202</v>
      </c>
      <c r="E17" s="153">
        <f>E6+E10-E16</f>
        <v>0</v>
      </c>
    </row>
    <row r="18" spans="1:5" ht="15" thickBot="1">
      <c r="A18" s="215" t="s">
        <v>190</v>
      </c>
      <c r="B18" s="215">
        <f>ROW()</f>
        <v>18</v>
      </c>
      <c r="C18" s="215" t="s">
        <v>102</v>
      </c>
      <c r="D18" s="220" t="s">
        <v>203</v>
      </c>
      <c r="E18" s="54"/>
    </row>
    <row r="19" spans="1:5" ht="15" thickBot="1">
      <c r="A19" s="215" t="s">
        <v>190</v>
      </c>
      <c r="B19" s="215">
        <f>ROW()</f>
        <v>19</v>
      </c>
      <c r="C19" s="215"/>
      <c r="D19" s="219" t="s">
        <v>204</v>
      </c>
      <c r="E19" s="153">
        <f>IF(E17&lt;0,0,MAX(E17-E18,0))</f>
        <v>0</v>
      </c>
    </row>
    <row r="20" spans="1:5" ht="15" thickBot="1">
      <c r="A20" s="215" t="s">
        <v>190</v>
      </c>
      <c r="B20" s="215">
        <f>ROW()</f>
        <v>20</v>
      </c>
      <c r="C20" s="215"/>
      <c r="D20" s="220" t="s">
        <v>205</v>
      </c>
      <c r="E20" s="76"/>
    </row>
    <row r="21" spans="1:5" ht="15" thickBot="1">
      <c r="A21" s="215" t="s">
        <v>190</v>
      </c>
      <c r="B21" s="215">
        <f>ROW()</f>
        <v>21</v>
      </c>
      <c r="C21" s="215"/>
      <c r="D21" s="219" t="s">
        <v>176</v>
      </c>
      <c r="E21" s="153">
        <f>IF(E19&lt;0,0,E19*E20)</f>
        <v>0</v>
      </c>
    </row>
    <row r="22" spans="1:5" ht="15" thickBot="1">
      <c r="A22" s="215" t="s">
        <v>190</v>
      </c>
      <c r="B22" s="215">
        <f>ROW()</f>
        <v>22</v>
      </c>
      <c r="C22" s="215"/>
      <c r="D22" s="220" t="s">
        <v>206</v>
      </c>
      <c r="E22" s="74">
        <f>E58</f>
        <v>0</v>
      </c>
    </row>
    <row r="23" spans="1:5" ht="15" thickBot="1">
      <c r="A23" s="215" t="s">
        <v>190</v>
      </c>
      <c r="B23" s="215">
        <f>ROW()</f>
        <v>23</v>
      </c>
      <c r="C23" s="215"/>
      <c r="D23" s="219" t="s">
        <v>207</v>
      </c>
      <c r="E23" s="153">
        <f>E21+E22</f>
        <v>0</v>
      </c>
    </row>
    <row r="24" spans="1:5" ht="14.5" customHeight="1">
      <c r="B24" s="296" t="s">
        <v>208</v>
      </c>
      <c r="C24" s="296"/>
      <c r="D24" s="296"/>
      <c r="E24" s="296"/>
    </row>
    <row r="27" spans="1:5" ht="21">
      <c r="B27" s="3" t="s">
        <v>209</v>
      </c>
    </row>
    <row r="28" spans="1:5" ht="21">
      <c r="B28" s="3" t="s">
        <v>210</v>
      </c>
    </row>
    <row r="29" spans="1:5" ht="32.5" customHeight="1">
      <c r="B29" s="296" t="s">
        <v>211</v>
      </c>
      <c r="C29" s="296"/>
      <c r="D29" s="296"/>
      <c r="E29" s="296"/>
    </row>
    <row r="30" spans="1:5" ht="21">
      <c r="B30" s="3"/>
    </row>
    <row r="32" spans="1:5" ht="21">
      <c r="B32" s="3" t="s">
        <v>212</v>
      </c>
    </row>
    <row r="33" spans="1:5" ht="29">
      <c r="A33" s="221" t="s">
        <v>80</v>
      </c>
      <c r="B33" s="222" t="s">
        <v>81</v>
      </c>
      <c r="C33" s="222" t="s">
        <v>82</v>
      </c>
      <c r="D33" s="5" t="s">
        <v>83</v>
      </c>
      <c r="E33" s="14" t="s">
        <v>191</v>
      </c>
    </row>
    <row r="34" spans="1:5">
      <c r="A34" s="215" t="s">
        <v>212</v>
      </c>
      <c r="B34" s="215">
        <f>ROW()</f>
        <v>34</v>
      </c>
      <c r="C34" s="215"/>
      <c r="D34" s="220" t="s">
        <v>213</v>
      </c>
      <c r="E34" s="54"/>
    </row>
    <row r="35" spans="1:5">
      <c r="A35" s="215" t="s">
        <v>212</v>
      </c>
      <c r="B35" s="215">
        <f>ROW()</f>
        <v>35</v>
      </c>
      <c r="C35" s="215" t="s">
        <v>100</v>
      </c>
      <c r="D35" s="220" t="s">
        <v>214</v>
      </c>
      <c r="E35" s="54"/>
    </row>
    <row r="36" spans="1:5">
      <c r="A36" s="215" t="s">
        <v>212</v>
      </c>
      <c r="B36" s="215">
        <f>ROW()</f>
        <v>36</v>
      </c>
      <c r="C36" s="215" t="s">
        <v>102</v>
      </c>
      <c r="D36" s="220" t="s">
        <v>215</v>
      </c>
      <c r="E36" s="54"/>
    </row>
    <row r="37" spans="1:5">
      <c r="A37" s="215" t="s">
        <v>212</v>
      </c>
      <c r="B37" s="215">
        <f>ROW()</f>
        <v>37</v>
      </c>
      <c r="C37" s="215" t="s">
        <v>100</v>
      </c>
      <c r="D37" s="220" t="s">
        <v>216</v>
      </c>
      <c r="E37" s="54"/>
    </row>
    <row r="38" spans="1:5">
      <c r="A38" s="215" t="s">
        <v>212</v>
      </c>
      <c r="B38" s="215">
        <f>ROW()</f>
        <v>38</v>
      </c>
      <c r="C38" s="215" t="s">
        <v>102</v>
      </c>
      <c r="D38" s="220" t="s">
        <v>197</v>
      </c>
      <c r="E38" s="54"/>
    </row>
    <row r="39" spans="1:5" ht="15" thickBot="1">
      <c r="A39" s="215" t="s">
        <v>212</v>
      </c>
      <c r="B39" s="215">
        <f>ROW()</f>
        <v>39</v>
      </c>
      <c r="C39" s="215" t="s">
        <v>100</v>
      </c>
      <c r="D39" s="220" t="s">
        <v>217</v>
      </c>
      <c r="E39" s="54"/>
    </row>
    <row r="40" spans="1:5" ht="15" thickBot="1">
      <c r="A40" s="215" t="s">
        <v>212</v>
      </c>
      <c r="B40" s="215">
        <f>ROW()</f>
        <v>40</v>
      </c>
      <c r="C40" s="215"/>
      <c r="D40" s="219" t="s">
        <v>218</v>
      </c>
      <c r="E40" s="153">
        <f>E34+E35-E36+E37-E38+E39</f>
        <v>0</v>
      </c>
    </row>
    <row r="43" spans="1:5" ht="21">
      <c r="B43" s="3" t="s">
        <v>219</v>
      </c>
    </row>
    <row r="44" spans="1:5">
      <c r="A44" s="221" t="s">
        <v>80</v>
      </c>
      <c r="B44" s="222" t="s">
        <v>81</v>
      </c>
      <c r="C44" s="222" t="s">
        <v>82</v>
      </c>
      <c r="D44" s="5" t="s">
        <v>83</v>
      </c>
      <c r="E44" s="14" t="s">
        <v>179</v>
      </c>
    </row>
    <row r="45" spans="1:5">
      <c r="A45" s="215" t="s">
        <v>219</v>
      </c>
      <c r="B45" s="215">
        <f>ROW()</f>
        <v>45</v>
      </c>
      <c r="C45" s="215"/>
      <c r="D45" s="220" t="s">
        <v>220</v>
      </c>
      <c r="E45" s="54"/>
    </row>
    <row r="46" spans="1:5">
      <c r="A46" s="215" t="s">
        <v>219</v>
      </c>
      <c r="B46" s="215">
        <f>ROW()</f>
        <v>46</v>
      </c>
      <c r="C46" s="215" t="s">
        <v>100</v>
      </c>
      <c r="D46" s="220" t="s">
        <v>221</v>
      </c>
      <c r="E46" s="47">
        <f>IF(E17&lt;0,E17,0)</f>
        <v>0</v>
      </c>
    </row>
    <row r="47" spans="1:5" ht="15" thickBot="1">
      <c r="A47" s="215" t="s">
        <v>219</v>
      </c>
      <c r="B47" s="215">
        <f>ROW()</f>
        <v>47</v>
      </c>
      <c r="C47" s="215" t="s">
        <v>102</v>
      </c>
      <c r="D47" s="220" t="s">
        <v>222</v>
      </c>
      <c r="E47" s="47">
        <f>E17-E19</f>
        <v>0</v>
      </c>
    </row>
    <row r="48" spans="1:5" ht="15" thickBot="1">
      <c r="A48" s="215" t="s">
        <v>219</v>
      </c>
      <c r="B48" s="215">
        <f>ROW()</f>
        <v>48</v>
      </c>
      <c r="C48" s="215"/>
      <c r="D48" s="219" t="s">
        <v>223</v>
      </c>
      <c r="E48" s="153">
        <f>E45+E46-E47</f>
        <v>0</v>
      </c>
    </row>
    <row r="51" spans="1:5" ht="21">
      <c r="B51" s="3" t="s">
        <v>224</v>
      </c>
    </row>
    <row r="52" spans="1:5" ht="29">
      <c r="A52" s="221" t="s">
        <v>80</v>
      </c>
      <c r="B52" s="222" t="s">
        <v>81</v>
      </c>
      <c r="C52" s="222" t="s">
        <v>82</v>
      </c>
      <c r="D52" s="5" t="s">
        <v>83</v>
      </c>
      <c r="E52" s="14" t="s">
        <v>191</v>
      </c>
    </row>
    <row r="53" spans="1:5">
      <c r="A53" s="215" t="s">
        <v>224</v>
      </c>
      <c r="B53" s="215">
        <f>ROW()</f>
        <v>53</v>
      </c>
      <c r="C53" s="215"/>
      <c r="D53" s="220" t="s">
        <v>225</v>
      </c>
      <c r="E53" s="47">
        <f>'S4.RAB Roll-Forward'!E6</f>
        <v>0</v>
      </c>
    </row>
    <row r="54" spans="1:5">
      <c r="A54" s="215" t="s">
        <v>224</v>
      </c>
      <c r="B54" s="215">
        <f>ROW()</f>
        <v>54</v>
      </c>
      <c r="C54" s="215"/>
      <c r="D54" s="256" t="s">
        <v>226</v>
      </c>
      <c r="E54" s="77"/>
    </row>
    <row r="55" spans="1:5">
      <c r="A55" s="215" t="s">
        <v>224</v>
      </c>
      <c r="B55" s="215">
        <f>ROW()</f>
        <v>55</v>
      </c>
      <c r="C55" s="215"/>
      <c r="D55" s="220" t="s">
        <v>227</v>
      </c>
      <c r="E55" s="77"/>
    </row>
    <row r="56" spans="1:5">
      <c r="A56" s="215" t="s">
        <v>224</v>
      </c>
      <c r="B56" s="215">
        <f>ROW()</f>
        <v>56</v>
      </c>
      <c r="C56" s="215"/>
      <c r="D56" s="220" t="s">
        <v>198</v>
      </c>
      <c r="E56" s="47">
        <f>E53*E54*E55</f>
        <v>0</v>
      </c>
    </row>
    <row r="57" spans="1:5" ht="15" thickBot="1">
      <c r="A57" s="215" t="s">
        <v>224</v>
      </c>
      <c r="B57" s="215">
        <f>ROW()</f>
        <v>57</v>
      </c>
      <c r="C57" s="215"/>
      <c r="D57" s="220" t="s">
        <v>228</v>
      </c>
      <c r="E57" s="78"/>
    </row>
    <row r="58" spans="1:5" ht="15" thickBot="1">
      <c r="A58" s="215" t="s">
        <v>224</v>
      </c>
      <c r="B58" s="215">
        <f>ROW()</f>
        <v>58</v>
      </c>
      <c r="C58" s="215"/>
      <c r="D58" s="219" t="s">
        <v>206</v>
      </c>
      <c r="E58" s="138">
        <f>E56*E57</f>
        <v>0</v>
      </c>
    </row>
  </sheetData>
  <mergeCells count="2">
    <mergeCell ref="B24:E24"/>
    <mergeCell ref="B29:E29"/>
  </mergeCells>
  <pageMargins left="0.25" right="0.25" top="0.75" bottom="0.75" header="0.3" footer="0.3"/>
  <pageSetup paperSize="9" scale="79" fitToHeight="0" orientation="portrait" r:id="rId1"/>
  <rowBreaks count="1" manualBreakCount="1">
    <brk id="30" max="5" man="1"/>
  </rowBreaks>
  <tableParts count="4">
    <tablePart r:id="rId2"/>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DF6D2-DB73-4BD5-B755-D369D234E194}">
  <sheetPr>
    <pageSetUpPr fitToPage="1"/>
  </sheetPr>
  <dimension ref="A1:L120"/>
  <sheetViews>
    <sheetView showGridLines="0" view="pageBreakPreview" topLeftCell="B1" zoomScaleNormal="90" zoomScaleSheetLayoutView="100" workbookViewId="0">
      <selection activeCell="B2" sqref="B2"/>
    </sheetView>
  </sheetViews>
  <sheetFormatPr defaultRowHeight="14.5"/>
  <cols>
    <col min="1" max="1" width="4.26953125" hidden="1" customWidth="1"/>
    <col min="2" max="2" width="11.26953125" bestFit="1" customWidth="1"/>
    <col min="3" max="3" width="14.453125" bestFit="1" customWidth="1"/>
    <col min="4" max="4" width="51.54296875" style="15" bestFit="1" customWidth="1"/>
    <col min="5" max="5" width="38.26953125" style="15" bestFit="1" customWidth="1"/>
    <col min="6" max="7" width="25.26953125" bestFit="1" customWidth="1"/>
    <col min="8" max="8" width="32.7265625" bestFit="1" customWidth="1"/>
    <col min="9" max="9" width="31.26953125" bestFit="1" customWidth="1"/>
    <col min="10" max="10" width="16.54296875" customWidth="1"/>
    <col min="11" max="11" width="14.7265625" customWidth="1"/>
    <col min="12" max="12" width="26.7265625" customWidth="1"/>
    <col min="13" max="13" width="23.54296875" bestFit="1" customWidth="1"/>
  </cols>
  <sheetData>
    <row r="1" spans="1:7" ht="23.5">
      <c r="B1" s="53" t="str">
        <f>_company_name&amp;"    |     Pricing period starting year - "&amp;TEXT(_pp_starting_year,"dd mmmm yyyy")&amp;"    |     Disclosure year - "&amp;TEXT(_dy_year_ended,"yyyy")</f>
        <v>[select name of the airport]    |     Pricing period starting year - 30 June 2023    |     Disclosure year - 2026</v>
      </c>
    </row>
    <row r="2" spans="1:7" ht="23.5">
      <c r="B2" s="53"/>
    </row>
    <row r="3" spans="1:7" ht="23.5">
      <c r="B3" s="1" t="s">
        <v>229</v>
      </c>
    </row>
    <row r="4" spans="1:7" ht="21">
      <c r="B4" s="3" t="s">
        <v>230</v>
      </c>
    </row>
    <row r="5" spans="1:7">
      <c r="A5" s="221" t="s">
        <v>80</v>
      </c>
      <c r="B5" s="222" t="s">
        <v>81</v>
      </c>
      <c r="C5" s="222" t="s">
        <v>82</v>
      </c>
      <c r="D5" s="5" t="s">
        <v>83</v>
      </c>
      <c r="E5" s="14" t="s">
        <v>231</v>
      </c>
      <c r="F5" s="14" t="s">
        <v>232</v>
      </c>
      <c r="G5" s="17" t="s">
        <v>233</v>
      </c>
    </row>
    <row r="6" spans="1:7">
      <c r="A6" s="215" t="s">
        <v>230</v>
      </c>
      <c r="B6" s="215">
        <f>ROW()</f>
        <v>6</v>
      </c>
      <c r="C6" s="215"/>
      <c r="D6" s="219" t="s">
        <v>234</v>
      </c>
      <c r="E6" s="79">
        <f>F18</f>
        <v>0</v>
      </c>
      <c r="F6" s="54"/>
      <c r="G6" s="47" t="str">
        <f>IF(OR(E6="",F6=""),"",E6-F6)</f>
        <v/>
      </c>
    </row>
    <row r="7" spans="1:7">
      <c r="A7" s="215" t="s">
        <v>230</v>
      </c>
      <c r="B7" s="215">
        <f>ROW()</f>
        <v>7</v>
      </c>
      <c r="C7" s="215" t="s">
        <v>102</v>
      </c>
      <c r="D7" s="220" t="s">
        <v>171</v>
      </c>
      <c r="E7" s="79">
        <f>F19</f>
        <v>0</v>
      </c>
      <c r="F7" s="54"/>
      <c r="G7" s="47" t="str">
        <f t="shared" ref="G7:G12" si="0">IF(OR(E7="",F7=""),"",E7-F7)</f>
        <v/>
      </c>
    </row>
    <row r="8" spans="1:7">
      <c r="A8" s="215" t="s">
        <v>230</v>
      </c>
      <c r="B8" s="215">
        <f>ROW()</f>
        <v>8</v>
      </c>
      <c r="C8" s="215" t="s">
        <v>100</v>
      </c>
      <c r="D8" s="220" t="s">
        <v>174</v>
      </c>
      <c r="E8" s="79">
        <f>F22</f>
        <v>0</v>
      </c>
      <c r="F8" s="54"/>
      <c r="G8" s="47" t="str">
        <f t="shared" si="0"/>
        <v/>
      </c>
    </row>
    <row r="9" spans="1:7">
      <c r="A9" s="215" t="s">
        <v>230</v>
      </c>
      <c r="B9" s="215">
        <f>ROW()</f>
        <v>9</v>
      </c>
      <c r="C9" s="215" t="s">
        <v>100</v>
      </c>
      <c r="D9" s="220" t="s">
        <v>235</v>
      </c>
      <c r="E9" s="79">
        <f>F26</f>
        <v>0</v>
      </c>
      <c r="F9" s="54"/>
      <c r="G9" s="47" t="str">
        <f t="shared" si="0"/>
        <v/>
      </c>
    </row>
    <row r="10" spans="1:7">
      <c r="A10" s="215" t="s">
        <v>230</v>
      </c>
      <c r="B10" s="215">
        <f>ROW()</f>
        <v>10</v>
      </c>
      <c r="C10" s="215" t="s">
        <v>102</v>
      </c>
      <c r="D10" s="220" t="s">
        <v>104</v>
      </c>
      <c r="E10" s="79">
        <f>F30</f>
        <v>0</v>
      </c>
      <c r="F10" s="54"/>
      <c r="G10" s="47" t="str">
        <f t="shared" si="0"/>
        <v/>
      </c>
    </row>
    <row r="11" spans="1:7">
      <c r="A11" s="215" t="s">
        <v>230</v>
      </c>
      <c r="B11" s="215">
        <f>ROW()</f>
        <v>11</v>
      </c>
      <c r="C11" s="215" t="s">
        <v>100</v>
      </c>
      <c r="D11" s="220" t="s">
        <v>236</v>
      </c>
      <c r="E11" s="79">
        <f>F31</f>
        <v>0</v>
      </c>
      <c r="F11" s="54"/>
      <c r="G11" s="47" t="str">
        <f>IF(OR(E11="",F11=""),"",E11-F11)</f>
        <v/>
      </c>
    </row>
    <row r="12" spans="1:7" ht="15" thickBot="1">
      <c r="A12" s="215" t="s">
        <v>230</v>
      </c>
      <c r="B12" s="215">
        <f>ROW()</f>
        <v>12</v>
      </c>
      <c r="C12" s="215"/>
      <c r="D12" s="220" t="s">
        <v>237</v>
      </c>
      <c r="E12" s="79">
        <f>F32</f>
        <v>0</v>
      </c>
      <c r="F12" s="54"/>
      <c r="G12" s="47" t="str">
        <f t="shared" si="0"/>
        <v/>
      </c>
    </row>
    <row r="13" spans="1:7" ht="15" thickBot="1">
      <c r="A13" s="215" t="s">
        <v>230</v>
      </c>
      <c r="B13" s="215">
        <f>ROW()</f>
        <v>13</v>
      </c>
      <c r="C13" s="215"/>
      <c r="D13" s="219" t="s">
        <v>238</v>
      </c>
      <c r="E13" s="154">
        <f>F33</f>
        <v>0</v>
      </c>
      <c r="F13" s="155"/>
      <c r="G13" s="156" t="str">
        <f>IF(OR(E13="",F13=""),"",E13-F13)</f>
        <v/>
      </c>
    </row>
    <row r="14" spans="1:7">
      <c r="B14" s="45" t="s">
        <v>239</v>
      </c>
      <c r="D14"/>
      <c r="E14" s="70"/>
      <c r="G14" t="str">
        <f>IF(OR(E14="",F14=""),"",E14-F14)</f>
        <v/>
      </c>
    </row>
    <row r="16" spans="1:7" ht="21">
      <c r="B16" s="3" t="s">
        <v>240</v>
      </c>
    </row>
    <row r="17" spans="1:9">
      <c r="A17" s="221" t="s">
        <v>80</v>
      </c>
      <c r="B17" s="222" t="s">
        <v>81</v>
      </c>
      <c r="C17" s="222" t="s">
        <v>82</v>
      </c>
      <c r="D17" s="5" t="s">
        <v>83</v>
      </c>
      <c r="E17" s="14" t="s">
        <v>241</v>
      </c>
      <c r="F17" s="14" t="s">
        <v>242</v>
      </c>
    </row>
    <row r="18" spans="1:9">
      <c r="A18" s="215" t="s">
        <v>240</v>
      </c>
      <c r="B18" s="215">
        <f>ROW()</f>
        <v>18</v>
      </c>
      <c r="C18" s="215"/>
      <c r="D18" s="219" t="s">
        <v>234</v>
      </c>
      <c r="E18" s="80"/>
      <c r="F18" s="54"/>
    </row>
    <row r="19" spans="1:9">
      <c r="A19" s="215" t="s">
        <v>240</v>
      </c>
      <c r="B19" s="215">
        <f>ROW()</f>
        <v>19</v>
      </c>
      <c r="C19" s="215" t="s">
        <v>102</v>
      </c>
      <c r="D19" s="219" t="s">
        <v>171</v>
      </c>
      <c r="E19" s="79">
        <f>E42</f>
        <v>0</v>
      </c>
      <c r="F19" s="47">
        <f>F42</f>
        <v>0</v>
      </c>
    </row>
    <row r="20" spans="1:9">
      <c r="A20" s="215" t="s">
        <v>240</v>
      </c>
      <c r="B20" s="215">
        <f>ROW()</f>
        <v>20</v>
      </c>
      <c r="C20" s="215" t="s">
        <v>100</v>
      </c>
      <c r="D20" s="220" t="s">
        <v>243</v>
      </c>
      <c r="E20" s="79">
        <f>F70</f>
        <v>0</v>
      </c>
      <c r="F20" s="47">
        <f>G70</f>
        <v>0</v>
      </c>
    </row>
    <row r="21" spans="1:9" ht="15" thickBot="1">
      <c r="A21" s="215" t="s">
        <v>240</v>
      </c>
      <c r="B21" s="215">
        <f>ROW()</f>
        <v>21</v>
      </c>
      <c r="C21" s="215" t="s">
        <v>100</v>
      </c>
      <c r="D21" s="220" t="s">
        <v>173</v>
      </c>
      <c r="E21" s="80"/>
      <c r="F21" s="54"/>
    </row>
    <row r="22" spans="1:9" ht="15" thickBot="1">
      <c r="A22" s="215" t="s">
        <v>240</v>
      </c>
      <c r="B22" s="215">
        <f>ROW()</f>
        <v>22</v>
      </c>
      <c r="C22" s="215" t="s">
        <v>100</v>
      </c>
      <c r="D22" s="219" t="s">
        <v>174</v>
      </c>
      <c r="E22" s="154">
        <f>SUM(E20:E21)</f>
        <v>0</v>
      </c>
      <c r="F22" s="157">
        <f>SUM(F20:F21)</f>
        <v>0</v>
      </c>
    </row>
    <row r="23" spans="1:9">
      <c r="A23" s="215" t="s">
        <v>240</v>
      </c>
      <c r="B23" s="215">
        <f>ROW()</f>
        <v>23</v>
      </c>
      <c r="C23" s="215" t="s">
        <v>100</v>
      </c>
      <c r="D23" s="220" t="s">
        <v>244</v>
      </c>
      <c r="E23" s="80"/>
      <c r="F23" s="54"/>
    </row>
    <row r="24" spans="1:9">
      <c r="A24" s="215" t="s">
        <v>240</v>
      </c>
      <c r="B24" s="215">
        <f>ROW()</f>
        <v>24</v>
      </c>
      <c r="C24" s="215" t="s">
        <v>100</v>
      </c>
      <c r="D24" s="220" t="s">
        <v>245</v>
      </c>
      <c r="E24" s="80"/>
      <c r="F24" s="54"/>
    </row>
    <row r="25" spans="1:9" ht="15" thickBot="1">
      <c r="A25" s="215" t="s">
        <v>240</v>
      </c>
      <c r="B25" s="215">
        <f>ROW()</f>
        <v>25</v>
      </c>
      <c r="C25" s="215" t="s">
        <v>100</v>
      </c>
      <c r="D25" s="220" t="s">
        <v>246</v>
      </c>
      <c r="E25" s="80"/>
      <c r="F25" s="54"/>
    </row>
    <row r="26" spans="1:9" ht="15" thickBot="1">
      <c r="A26" s="215" t="s">
        <v>240</v>
      </c>
      <c r="B26" s="215">
        <f>ROW()</f>
        <v>26</v>
      </c>
      <c r="C26" s="215" t="s">
        <v>100</v>
      </c>
      <c r="D26" s="219" t="s">
        <v>247</v>
      </c>
      <c r="E26" s="154">
        <f>SUM(E23:E25)</f>
        <v>0</v>
      </c>
      <c r="F26" s="157">
        <f>SUM(F23:F25)</f>
        <v>0</v>
      </c>
    </row>
    <row r="27" spans="1:9">
      <c r="A27" s="215" t="s">
        <v>240</v>
      </c>
      <c r="B27" s="215">
        <f>ROW()</f>
        <v>27</v>
      </c>
      <c r="C27" s="215" t="s">
        <v>248</v>
      </c>
      <c r="D27" s="220" t="s">
        <v>249</v>
      </c>
      <c r="E27" s="80"/>
      <c r="F27" s="54"/>
    </row>
    <row r="28" spans="1:9">
      <c r="A28" s="215" t="s">
        <v>240</v>
      </c>
      <c r="B28" s="215">
        <f>ROW()</f>
        <v>28</v>
      </c>
      <c r="C28" s="215" t="s">
        <v>248</v>
      </c>
      <c r="D28" s="220" t="s">
        <v>250</v>
      </c>
      <c r="E28" s="80"/>
      <c r="F28" s="54"/>
    </row>
    <row r="29" spans="1:9" ht="15" thickBot="1">
      <c r="A29" s="215" t="s">
        <v>240</v>
      </c>
      <c r="B29" s="215">
        <f>ROW()</f>
        <v>29</v>
      </c>
      <c r="C29" s="215" t="s">
        <v>248</v>
      </c>
      <c r="D29" s="220" t="s">
        <v>251</v>
      </c>
      <c r="E29" s="80"/>
      <c r="F29" s="54"/>
    </row>
    <row r="30" spans="1:9" ht="15" thickBot="1">
      <c r="A30" s="215" t="s">
        <v>240</v>
      </c>
      <c r="B30" s="215">
        <f>ROW()</f>
        <v>30</v>
      </c>
      <c r="C30" s="215" t="s">
        <v>248</v>
      </c>
      <c r="D30" s="219" t="s">
        <v>104</v>
      </c>
      <c r="E30" s="154">
        <f>SUM(E27:E29)</f>
        <v>0</v>
      </c>
      <c r="F30" s="157">
        <f>SUM(F27:F29)</f>
        <v>0</v>
      </c>
    </row>
    <row r="31" spans="1:9">
      <c r="A31" s="215" t="s">
        <v>240</v>
      </c>
      <c r="B31" s="215">
        <f>ROW()</f>
        <v>31</v>
      </c>
      <c r="C31" s="215" t="s">
        <v>100</v>
      </c>
      <c r="D31" s="219" t="s">
        <v>236</v>
      </c>
      <c r="E31" s="80"/>
      <c r="F31" s="54"/>
      <c r="H31" s="104" t="str" cm="1">
        <f t="array" aca="1" ref="H31" ca="1">_xlfn.TEXTJOIN(" ", TRUE, "Test for cell", SUBSTITUTE(CELL("address", E33),"$",""), "conditional formatting")</f>
        <v>Test for cell E33 conditional formatting</v>
      </c>
      <c r="I31" s="114"/>
    </row>
    <row r="32" spans="1:9" ht="15" thickBot="1">
      <c r="A32" s="215" t="s">
        <v>240</v>
      </c>
      <c r="B32" s="215">
        <f>ROW()</f>
        <v>32</v>
      </c>
      <c r="C32" s="215" t="s">
        <v>100</v>
      </c>
      <c r="D32" s="219" t="s">
        <v>237</v>
      </c>
      <c r="E32" s="18"/>
      <c r="F32" s="47">
        <f>F33-(F18-F19+F22+F26-F30+F31)</f>
        <v>0</v>
      </c>
      <c r="H32" s="125" t="s">
        <v>252</v>
      </c>
      <c r="I32" s="120" t="s">
        <v>253</v>
      </c>
    </row>
    <row r="33" spans="1:9" ht="15" thickBot="1">
      <c r="A33" s="215" t="s">
        <v>240</v>
      </c>
      <c r="B33" s="215">
        <f>ROW()</f>
        <v>33</v>
      </c>
      <c r="C33" s="215"/>
      <c r="D33" s="219" t="s">
        <v>238</v>
      </c>
      <c r="E33" s="158">
        <f>E18-E19+E22+E26-E30+E31</f>
        <v>0</v>
      </c>
      <c r="F33" s="152">
        <f>'S9.Asset Allocation'!H20</f>
        <v>0</v>
      </c>
      <c r="H33" s="126">
        <f>'S9.Asset Allocation'!J20</f>
        <v>0</v>
      </c>
      <c r="I33" s="127" t="b">
        <f>(ROUND(E33,0)=ROUND(H33,0))</f>
        <v>1</v>
      </c>
    </row>
    <row r="34" spans="1:9" ht="34.9" customHeight="1">
      <c r="B34" s="296" t="s">
        <v>254</v>
      </c>
      <c r="C34" s="296"/>
      <c r="D34" s="296"/>
      <c r="E34" s="296"/>
      <c r="F34" s="296"/>
    </row>
    <row r="37" spans="1:9" ht="21">
      <c r="B37" s="3" t="s">
        <v>255</v>
      </c>
    </row>
    <row r="38" spans="1:9" ht="21">
      <c r="B38" s="3" t="s">
        <v>256</v>
      </c>
    </row>
    <row r="39" spans="1:9">
      <c r="A39" s="221" t="s">
        <v>80</v>
      </c>
      <c r="B39" s="222" t="s">
        <v>81</v>
      </c>
      <c r="C39" s="222" t="s">
        <v>82</v>
      </c>
      <c r="D39" s="5" t="s">
        <v>83</v>
      </c>
      <c r="E39" s="14" t="s">
        <v>257</v>
      </c>
      <c r="F39" s="14" t="s">
        <v>242</v>
      </c>
    </row>
    <row r="40" spans="1:9">
      <c r="A40" s="215" t="s">
        <v>256</v>
      </c>
      <c r="B40" s="215">
        <f>ROW()</f>
        <v>40</v>
      </c>
      <c r="C40" s="215"/>
      <c r="D40" s="220" t="s">
        <v>258</v>
      </c>
      <c r="E40" s="80"/>
      <c r="F40" s="54"/>
    </row>
    <row r="41" spans="1:9" ht="15" thickBot="1">
      <c r="A41" s="215" t="s">
        <v>256</v>
      </c>
      <c r="B41" s="215">
        <f>ROW()</f>
        <v>41</v>
      </c>
      <c r="C41" s="215"/>
      <c r="D41" s="220" t="s">
        <v>259</v>
      </c>
      <c r="E41" s="80"/>
      <c r="F41" s="54"/>
    </row>
    <row r="42" spans="1:9" ht="15" thickBot="1">
      <c r="A42" s="215" t="s">
        <v>256</v>
      </c>
      <c r="B42" s="215">
        <f>ROW()</f>
        <v>42</v>
      </c>
      <c r="C42" s="215"/>
      <c r="D42" s="219" t="s">
        <v>171</v>
      </c>
      <c r="E42" s="158">
        <f>SUM(E40:E41)</f>
        <v>0</v>
      </c>
      <c r="F42" s="159">
        <f>SUM(F40:F41)</f>
        <v>0</v>
      </c>
    </row>
    <row r="45" spans="1:9" ht="21">
      <c r="B45" s="3" t="s">
        <v>260</v>
      </c>
    </row>
    <row r="46" spans="1:9" ht="58">
      <c r="A46" s="221" t="s">
        <v>80</v>
      </c>
      <c r="B46" s="222" t="s">
        <v>81</v>
      </c>
      <c r="C46" s="222" t="s">
        <v>82</v>
      </c>
      <c r="D46" s="5" t="s">
        <v>261</v>
      </c>
      <c r="E46" s="14" t="s">
        <v>262</v>
      </c>
      <c r="F46" s="14" t="s">
        <v>263</v>
      </c>
      <c r="G46" s="17" t="s">
        <v>264</v>
      </c>
      <c r="H46" s="17" t="s">
        <v>265</v>
      </c>
    </row>
    <row r="47" spans="1:9">
      <c r="A47" s="215" t="s">
        <v>260</v>
      </c>
      <c r="B47" s="215">
        <f>ROW()</f>
        <v>47</v>
      </c>
      <c r="C47" s="215"/>
      <c r="D47" s="81"/>
      <c r="E47" s="82"/>
      <c r="F47" s="83"/>
      <c r="G47" s="84"/>
      <c r="H47" s="84"/>
    </row>
    <row r="48" spans="1:9">
      <c r="A48" s="215" t="s">
        <v>260</v>
      </c>
      <c r="B48" s="215">
        <f>ROW()</f>
        <v>48</v>
      </c>
      <c r="C48" s="215"/>
      <c r="D48" s="81"/>
      <c r="E48" s="82"/>
      <c r="F48" s="83"/>
      <c r="G48" s="84"/>
      <c r="H48" s="84"/>
    </row>
    <row r="49" spans="1:8">
      <c r="A49" s="215" t="s">
        <v>260</v>
      </c>
      <c r="B49" s="215">
        <f>ROW()</f>
        <v>49</v>
      </c>
      <c r="C49" s="215"/>
      <c r="D49" s="81"/>
      <c r="E49" s="82"/>
      <c r="F49" s="83"/>
      <c r="G49" s="84"/>
      <c r="H49" s="84"/>
    </row>
    <row r="50" spans="1:8">
      <c r="A50" s="215" t="s">
        <v>260</v>
      </c>
      <c r="B50" s="215">
        <f>ROW()</f>
        <v>50</v>
      </c>
      <c r="C50" s="215"/>
      <c r="D50" s="81"/>
      <c r="E50" s="82"/>
      <c r="F50" s="83"/>
      <c r="G50" s="84"/>
      <c r="H50" s="84"/>
    </row>
    <row r="51" spans="1:8">
      <c r="A51" s="215" t="s">
        <v>260</v>
      </c>
      <c r="B51" s="215">
        <f>ROW()</f>
        <v>51</v>
      </c>
      <c r="C51" s="215"/>
      <c r="D51" s="81"/>
      <c r="E51" s="82"/>
      <c r="F51" s="83"/>
      <c r="G51" s="84"/>
      <c r="H51" s="84"/>
    </row>
    <row r="54" spans="1:8" ht="21">
      <c r="B54" s="3" t="s">
        <v>266</v>
      </c>
    </row>
    <row r="55" spans="1:8">
      <c r="A55" s="221" t="s">
        <v>80</v>
      </c>
      <c r="B55" s="222" t="s">
        <v>81</v>
      </c>
      <c r="C55" s="222" t="s">
        <v>82</v>
      </c>
      <c r="D55" s="8" t="s">
        <v>83</v>
      </c>
      <c r="E55" s="8" t="s">
        <v>151</v>
      </c>
      <c r="F55" s="7" t="s">
        <v>267</v>
      </c>
      <c r="G55" s="19" t="s">
        <v>268</v>
      </c>
    </row>
    <row r="56" spans="1:8">
      <c r="A56" s="215" t="s">
        <v>266</v>
      </c>
      <c r="B56" s="215">
        <f>ROW()</f>
        <v>56</v>
      </c>
      <c r="C56" s="215"/>
      <c r="D56" s="220" t="s">
        <v>269</v>
      </c>
      <c r="E56" s="220"/>
      <c r="F56" s="220" t="s">
        <v>270</v>
      </c>
      <c r="G56" s="54"/>
    </row>
    <row r="57" spans="1:8">
      <c r="A57" s="215" t="s">
        <v>266</v>
      </c>
      <c r="B57" s="215">
        <f>ROW()</f>
        <v>57</v>
      </c>
      <c r="C57" s="215"/>
      <c r="D57" s="220" t="s">
        <v>271</v>
      </c>
      <c r="E57" s="220"/>
      <c r="F57" s="220" t="s">
        <v>270</v>
      </c>
      <c r="G57" s="54"/>
    </row>
    <row r="58" spans="1:8">
      <c r="A58" s="215" t="s">
        <v>266</v>
      </c>
      <c r="B58" s="215">
        <f>ROW()</f>
        <v>58</v>
      </c>
      <c r="C58" s="215"/>
      <c r="D58" s="220" t="s">
        <v>272</v>
      </c>
      <c r="E58" s="220"/>
      <c r="F58" s="220" t="s">
        <v>273</v>
      </c>
      <c r="G58" s="85" t="str">
        <f>IF(G56&lt;&gt;0,G57/G56-1,"Not defined")</f>
        <v>Not defined</v>
      </c>
    </row>
    <row r="59" spans="1:8">
      <c r="A59" s="215" t="s">
        <v>266</v>
      </c>
      <c r="B59" s="215">
        <f>ROW()</f>
        <v>59</v>
      </c>
      <c r="C59" s="215"/>
      <c r="D59" s="220" t="s">
        <v>274</v>
      </c>
      <c r="E59" s="220" t="s">
        <v>275</v>
      </c>
      <c r="F59" s="220" t="s">
        <v>273</v>
      </c>
      <c r="G59" s="54"/>
    </row>
    <row r="60" spans="1:8">
      <c r="A60" s="215" t="s">
        <v>266</v>
      </c>
      <c r="B60" s="215">
        <f>ROW()</f>
        <v>60</v>
      </c>
      <c r="C60" s="215"/>
      <c r="D60" s="220" t="s">
        <v>274</v>
      </c>
      <c r="E60" s="220" t="s">
        <v>276</v>
      </c>
      <c r="F60" s="220" t="s">
        <v>273</v>
      </c>
      <c r="G60" s="54"/>
    </row>
    <row r="61" spans="1:8">
      <c r="A61" s="215" t="s">
        <v>266</v>
      </c>
      <c r="B61" s="215">
        <f>ROW()</f>
        <v>61</v>
      </c>
      <c r="C61" s="215"/>
      <c r="D61" s="220" t="s">
        <v>274</v>
      </c>
      <c r="E61" s="220" t="s">
        <v>277</v>
      </c>
      <c r="F61" s="220" t="s">
        <v>273</v>
      </c>
      <c r="G61" s="54"/>
    </row>
    <row r="62" spans="1:8">
      <c r="A62" s="215" t="s">
        <v>266</v>
      </c>
      <c r="B62" s="215">
        <f>ROW()</f>
        <v>62</v>
      </c>
      <c r="C62" s="215"/>
      <c r="D62" s="220" t="s">
        <v>274</v>
      </c>
      <c r="E62" s="220" t="s">
        <v>278</v>
      </c>
      <c r="F62" s="220" t="s">
        <v>273</v>
      </c>
      <c r="G62" s="54"/>
    </row>
    <row r="64" spans="1:8" ht="21">
      <c r="B64" s="3" t="s">
        <v>266</v>
      </c>
    </row>
    <row r="65" spans="1:7" ht="29">
      <c r="A65" s="221" t="s">
        <v>80</v>
      </c>
      <c r="B65" s="222" t="s">
        <v>81</v>
      </c>
      <c r="C65" s="222" t="s">
        <v>82</v>
      </c>
      <c r="D65" s="5" t="s">
        <v>83</v>
      </c>
      <c r="E65" s="6" t="s">
        <v>151</v>
      </c>
      <c r="F65" s="14" t="s">
        <v>279</v>
      </c>
      <c r="G65" s="14" t="s">
        <v>280</v>
      </c>
    </row>
    <row r="66" spans="1:7" ht="14.65" customHeight="1">
      <c r="A66" s="215" t="s">
        <v>266</v>
      </c>
      <c r="B66" s="215">
        <f>ROW()</f>
        <v>66</v>
      </c>
      <c r="C66" s="215"/>
      <c r="D66" s="220" t="s">
        <v>268</v>
      </c>
      <c r="E66" s="220" t="s">
        <v>275</v>
      </c>
      <c r="F66" s="54"/>
      <c r="G66" s="54"/>
    </row>
    <row r="67" spans="1:7" ht="14.65" customHeight="1">
      <c r="A67" s="215" t="s">
        <v>266</v>
      </c>
      <c r="B67" s="215">
        <f>ROW()</f>
        <v>67</v>
      </c>
      <c r="C67" s="215"/>
      <c r="D67" s="220" t="s">
        <v>268</v>
      </c>
      <c r="E67" s="220" t="s">
        <v>276</v>
      </c>
      <c r="F67" s="54"/>
      <c r="G67" s="54"/>
    </row>
    <row r="68" spans="1:7" ht="14.65" customHeight="1">
      <c r="A68" s="215" t="s">
        <v>266</v>
      </c>
      <c r="B68" s="215">
        <f>ROW()</f>
        <v>68</v>
      </c>
      <c r="C68" s="215"/>
      <c r="D68" s="220" t="s">
        <v>268</v>
      </c>
      <c r="E68" s="220" t="s">
        <v>277</v>
      </c>
      <c r="F68" s="54"/>
      <c r="G68" s="54"/>
    </row>
    <row r="69" spans="1:7" ht="14.65" customHeight="1" thickBot="1">
      <c r="A69" s="215" t="s">
        <v>266</v>
      </c>
      <c r="B69" s="215">
        <f>ROW()</f>
        <v>69</v>
      </c>
      <c r="C69" s="215"/>
      <c r="D69" s="220" t="s">
        <v>268</v>
      </c>
      <c r="E69" s="220" t="s">
        <v>278</v>
      </c>
      <c r="F69" s="54"/>
      <c r="G69" s="54"/>
    </row>
    <row r="70" spans="1:7" ht="14.65" customHeight="1" thickBot="1">
      <c r="A70" s="215" t="s">
        <v>266</v>
      </c>
      <c r="B70" s="215">
        <f>ROW()</f>
        <v>70</v>
      </c>
      <c r="C70" s="215"/>
      <c r="D70" s="219" t="s">
        <v>268</v>
      </c>
      <c r="E70" s="219" t="s">
        <v>281</v>
      </c>
      <c r="F70" s="160">
        <f>SUM(F66:F69)</f>
        <v>0</v>
      </c>
      <c r="G70" s="156">
        <f>SUM(G66:G69)</f>
        <v>0</v>
      </c>
    </row>
    <row r="73" spans="1:7" ht="21">
      <c r="B73" s="3" t="s">
        <v>282</v>
      </c>
    </row>
    <row r="74" spans="1:7" ht="29">
      <c r="A74" s="221" t="s">
        <v>80</v>
      </c>
      <c r="B74" s="222" t="s">
        <v>81</v>
      </c>
      <c r="C74" s="222" t="s">
        <v>82</v>
      </c>
      <c r="D74" s="5" t="s">
        <v>83</v>
      </c>
      <c r="E74" s="6" t="s">
        <v>151</v>
      </c>
      <c r="F74" s="14" t="s">
        <v>283</v>
      </c>
      <c r="G74" s="14" t="s">
        <v>284</v>
      </c>
    </row>
    <row r="75" spans="1:7">
      <c r="A75" s="215" t="s">
        <v>282</v>
      </c>
      <c r="B75" s="215">
        <f>ROW()</f>
        <v>75</v>
      </c>
      <c r="C75" s="215"/>
      <c r="D75" s="220" t="s">
        <v>285</v>
      </c>
      <c r="E75" s="220"/>
      <c r="F75" s="54"/>
      <c r="G75" s="54"/>
    </row>
    <row r="76" spans="1:7">
      <c r="A76" s="215" t="s">
        <v>282</v>
      </c>
      <c r="B76" s="215">
        <f>ROW()</f>
        <v>76</v>
      </c>
      <c r="C76" s="215" t="s">
        <v>100</v>
      </c>
      <c r="D76" s="220" t="s">
        <v>286</v>
      </c>
      <c r="E76" s="220" t="s">
        <v>287</v>
      </c>
      <c r="F76" s="54"/>
      <c r="G76" s="47">
        <f>E86</f>
        <v>0</v>
      </c>
    </row>
    <row r="77" spans="1:7">
      <c r="A77" s="215" t="s">
        <v>282</v>
      </c>
      <c r="B77" s="215">
        <f>ROW()</f>
        <v>77</v>
      </c>
      <c r="C77" s="215" t="s">
        <v>102</v>
      </c>
      <c r="D77" s="220" t="s">
        <v>286</v>
      </c>
      <c r="E77" s="220" t="s">
        <v>288</v>
      </c>
      <c r="F77" s="47">
        <f>E26</f>
        <v>0</v>
      </c>
      <c r="G77" s="47">
        <f>F26</f>
        <v>0</v>
      </c>
    </row>
    <row r="78" spans="1:7" ht="15" thickBot="1">
      <c r="A78" s="215" t="s">
        <v>282</v>
      </c>
      <c r="B78" s="215">
        <f>ROW()</f>
        <v>78</v>
      </c>
      <c r="C78" s="215" t="s">
        <v>100</v>
      </c>
      <c r="D78" s="220" t="s">
        <v>286</v>
      </c>
      <c r="E78" s="220" t="s">
        <v>237</v>
      </c>
      <c r="F78" s="18"/>
      <c r="G78" s="47">
        <f>G79+G77-G76-G75</f>
        <v>0</v>
      </c>
    </row>
    <row r="79" spans="1:7" ht="15" thickBot="1">
      <c r="A79" s="215" t="s">
        <v>282</v>
      </c>
      <c r="B79" s="215">
        <f>ROW()</f>
        <v>79</v>
      </c>
      <c r="C79" s="215"/>
      <c r="D79" s="219" t="s">
        <v>286</v>
      </c>
      <c r="E79" s="219"/>
      <c r="F79" s="160">
        <f>F75+F76-F77</f>
        <v>0</v>
      </c>
      <c r="G79" s="161"/>
    </row>
    <row r="82" spans="1:12" ht="21">
      <c r="B82" s="3" t="s">
        <v>289</v>
      </c>
    </row>
    <row r="83" spans="1:12">
      <c r="A83" s="221" t="s">
        <v>80</v>
      </c>
      <c r="B83" s="222" t="s">
        <v>81</v>
      </c>
      <c r="C83" s="222" t="s">
        <v>82</v>
      </c>
      <c r="D83" s="5" t="s">
        <v>83</v>
      </c>
      <c r="E83" s="14" t="s">
        <v>290</v>
      </c>
    </row>
    <row r="84" spans="1:12">
      <c r="A84" s="215" t="s">
        <v>289</v>
      </c>
      <c r="B84" s="215">
        <f>ROW()</f>
        <v>84</v>
      </c>
      <c r="C84" s="215"/>
      <c r="D84" s="220" t="s">
        <v>291</v>
      </c>
      <c r="E84" s="76"/>
    </row>
    <row r="85" spans="1:12" ht="15" thickBot="1">
      <c r="A85" s="215" t="s">
        <v>289</v>
      </c>
      <c r="B85" s="215">
        <f>ROW()</f>
        <v>85</v>
      </c>
      <c r="C85" s="215" t="s">
        <v>100</v>
      </c>
      <c r="D85" s="220" t="s">
        <v>292</v>
      </c>
      <c r="E85" s="76"/>
    </row>
    <row r="86" spans="1:12" ht="15" thickBot="1">
      <c r="A86" s="215" t="s">
        <v>289</v>
      </c>
      <c r="B86" s="215">
        <f>ROW()</f>
        <v>86</v>
      </c>
      <c r="C86" s="215"/>
      <c r="D86" s="219" t="s">
        <v>293</v>
      </c>
      <c r="E86" s="156">
        <f>SUM(E84:E85)</f>
        <v>0</v>
      </c>
    </row>
    <row r="89" spans="1:12" ht="21">
      <c r="B89" s="3" t="s">
        <v>294</v>
      </c>
      <c r="K89" s="104" t="s">
        <v>295</v>
      </c>
      <c r="L89" s="114"/>
    </row>
    <row r="90" spans="1:12">
      <c r="A90" s="221" t="s">
        <v>80</v>
      </c>
      <c r="B90" s="222" t="s">
        <v>81</v>
      </c>
      <c r="C90" s="222" t="s">
        <v>82</v>
      </c>
      <c r="D90" s="5" t="s">
        <v>83</v>
      </c>
      <c r="E90" s="6" t="s">
        <v>296</v>
      </c>
      <c r="F90" s="6" t="s">
        <v>276</v>
      </c>
      <c r="G90" s="6" t="s">
        <v>297</v>
      </c>
      <c r="H90" s="14" t="s">
        <v>298</v>
      </c>
      <c r="I90" s="17" t="s">
        <v>299</v>
      </c>
      <c r="K90" s="125" t="s">
        <v>300</v>
      </c>
      <c r="L90" s="120" t="s">
        <v>301</v>
      </c>
    </row>
    <row r="91" spans="1:12">
      <c r="A91" s="215" t="s">
        <v>294</v>
      </c>
      <c r="B91" s="215">
        <f>ROW()</f>
        <v>91</v>
      </c>
      <c r="C91" s="215"/>
      <c r="D91" s="220" t="s">
        <v>234</v>
      </c>
      <c r="E91" s="54"/>
      <c r="F91" s="54"/>
      <c r="G91" s="54"/>
      <c r="H91" s="54"/>
      <c r="I91" s="47">
        <f>E91+F91+G91+H91</f>
        <v>0</v>
      </c>
      <c r="K91" s="128">
        <f>F18</f>
        <v>0</v>
      </c>
      <c r="L91" s="129" t="b">
        <f>ROUND(I91,0)=ROUND(K91,0)</f>
        <v>1</v>
      </c>
    </row>
    <row r="92" spans="1:12">
      <c r="A92" s="215" t="s">
        <v>294</v>
      </c>
      <c r="B92" s="215">
        <f>ROW()</f>
        <v>92</v>
      </c>
      <c r="C92" s="215" t="s">
        <v>102</v>
      </c>
      <c r="D92" s="220" t="s">
        <v>171</v>
      </c>
      <c r="E92" s="54"/>
      <c r="F92" s="54"/>
      <c r="G92" s="54"/>
      <c r="H92" s="54"/>
      <c r="I92" s="47">
        <f>E92+F92+G92+H92</f>
        <v>0</v>
      </c>
      <c r="K92" s="128">
        <f>F19</f>
        <v>0</v>
      </c>
      <c r="L92" s="129" t="b">
        <f t="shared" ref="L92:L99" si="1">ROUND(I92,0)=ROUND(K92,0)</f>
        <v>1</v>
      </c>
    </row>
    <row r="93" spans="1:12">
      <c r="A93" s="215" t="s">
        <v>294</v>
      </c>
      <c r="B93" s="215">
        <f>ROW()</f>
        <v>93</v>
      </c>
      <c r="C93" s="215" t="s">
        <v>100</v>
      </c>
      <c r="D93" s="220" t="s">
        <v>243</v>
      </c>
      <c r="E93" s="54"/>
      <c r="F93" s="54"/>
      <c r="G93" s="54"/>
      <c r="H93" s="54"/>
      <c r="I93" s="47">
        <f t="shared" ref="I93:I98" si="2">E93+F93+G93+H93</f>
        <v>0</v>
      </c>
      <c r="K93" s="128">
        <f>F20</f>
        <v>0</v>
      </c>
      <c r="L93" s="129" t="b">
        <f t="shared" si="1"/>
        <v>1</v>
      </c>
    </row>
    <row r="94" spans="1:12">
      <c r="A94" s="215" t="s">
        <v>294</v>
      </c>
      <c r="B94" s="215">
        <f>ROW()</f>
        <v>94</v>
      </c>
      <c r="C94" s="215" t="s">
        <v>100</v>
      </c>
      <c r="D94" s="220" t="s">
        <v>173</v>
      </c>
      <c r="E94" s="54"/>
      <c r="F94" s="18"/>
      <c r="G94" s="18"/>
      <c r="H94" s="18"/>
      <c r="I94" s="47">
        <f>E94</f>
        <v>0</v>
      </c>
      <c r="K94" s="128">
        <f>F21</f>
        <v>0</v>
      </c>
      <c r="L94" s="129" t="b">
        <f t="shared" si="1"/>
        <v>1</v>
      </c>
    </row>
    <row r="95" spans="1:12">
      <c r="A95" s="215" t="s">
        <v>294</v>
      </c>
      <c r="B95" s="215">
        <f>ROW()</f>
        <v>95</v>
      </c>
      <c r="C95" s="215" t="s">
        <v>100</v>
      </c>
      <c r="D95" s="220" t="s">
        <v>103</v>
      </c>
      <c r="E95" s="54"/>
      <c r="F95" s="54"/>
      <c r="G95" s="54"/>
      <c r="H95" s="54"/>
      <c r="I95" s="47">
        <f>E95+F95+G95+H95</f>
        <v>0</v>
      </c>
      <c r="K95" s="128">
        <f>F26</f>
        <v>0</v>
      </c>
      <c r="L95" s="129" t="b">
        <f t="shared" si="1"/>
        <v>1</v>
      </c>
    </row>
    <row r="96" spans="1:12">
      <c r="A96" s="215" t="s">
        <v>294</v>
      </c>
      <c r="B96" s="215">
        <f>ROW()</f>
        <v>96</v>
      </c>
      <c r="C96" s="215" t="s">
        <v>102</v>
      </c>
      <c r="D96" s="220" t="s">
        <v>104</v>
      </c>
      <c r="E96" s="54"/>
      <c r="F96" s="54"/>
      <c r="G96" s="54"/>
      <c r="H96" s="54"/>
      <c r="I96" s="47">
        <f t="shared" si="2"/>
        <v>0</v>
      </c>
      <c r="K96" s="128">
        <f>F30</f>
        <v>0</v>
      </c>
      <c r="L96" s="129" t="b">
        <f t="shared" si="1"/>
        <v>1</v>
      </c>
    </row>
    <row r="97" spans="1:12">
      <c r="A97" s="215" t="s">
        <v>294</v>
      </c>
      <c r="B97" s="215">
        <f>ROW()</f>
        <v>97</v>
      </c>
      <c r="C97" s="215" t="s">
        <v>100</v>
      </c>
      <c r="D97" s="220" t="s">
        <v>236</v>
      </c>
      <c r="E97" s="54"/>
      <c r="F97" s="54"/>
      <c r="G97" s="54"/>
      <c r="H97" s="54"/>
      <c r="I97" s="47">
        <f t="shared" si="2"/>
        <v>0</v>
      </c>
      <c r="K97" s="128">
        <f>F31</f>
        <v>0</v>
      </c>
      <c r="L97" s="129" t="b">
        <f t="shared" si="1"/>
        <v>1</v>
      </c>
    </row>
    <row r="98" spans="1:12" ht="15" thickBot="1">
      <c r="A98" s="215" t="s">
        <v>294</v>
      </c>
      <c r="B98" s="215">
        <f>ROW()</f>
        <v>98</v>
      </c>
      <c r="C98" s="215" t="s">
        <v>100</v>
      </c>
      <c r="D98" s="220" t="s">
        <v>237</v>
      </c>
      <c r="E98" s="54"/>
      <c r="F98" s="54"/>
      <c r="G98" s="54"/>
      <c r="H98" s="54"/>
      <c r="I98" s="47">
        <f t="shared" si="2"/>
        <v>0</v>
      </c>
      <c r="K98" s="128">
        <f>F32</f>
        <v>0</v>
      </c>
      <c r="L98" s="129" t="b">
        <f t="shared" si="1"/>
        <v>1</v>
      </c>
    </row>
    <row r="99" spans="1:12" ht="15" thickBot="1">
      <c r="A99" s="215" t="s">
        <v>294</v>
      </c>
      <c r="B99" s="215">
        <f>ROW()</f>
        <v>99</v>
      </c>
      <c r="C99" s="215"/>
      <c r="D99" s="219" t="s">
        <v>107</v>
      </c>
      <c r="E99" s="160">
        <f>E91-E92+E93+E94+E95-E96+E97+E98</f>
        <v>0</v>
      </c>
      <c r="F99" s="160">
        <f>F91-F92+F93+F95-F96+F97+F98</f>
        <v>0</v>
      </c>
      <c r="G99" s="160">
        <f>G91-G92+G93+G95-G96+G97+G98</f>
        <v>0</v>
      </c>
      <c r="H99" s="160">
        <f>H91-H92+H93+H95-H96+H97+H98</f>
        <v>0</v>
      </c>
      <c r="I99" s="156">
        <f>I91-I92+I93+I94+I95-I96+I97+I98</f>
        <v>0</v>
      </c>
      <c r="K99" s="126">
        <f>F33</f>
        <v>0</v>
      </c>
      <c r="L99" s="130" t="b">
        <f t="shared" si="1"/>
        <v>1</v>
      </c>
    </row>
    <row r="100" spans="1:12">
      <c r="B100" s="45" t="s">
        <v>302</v>
      </c>
      <c r="E100" s="225"/>
      <c r="F100" s="15"/>
      <c r="G100" s="15"/>
      <c r="I100" s="15"/>
    </row>
    <row r="103" spans="1:12" ht="21">
      <c r="B103" s="3" t="s">
        <v>303</v>
      </c>
    </row>
    <row r="104" spans="1:12">
      <c r="A104" s="221" t="s">
        <v>80</v>
      </c>
      <c r="B104" s="222" t="s">
        <v>81</v>
      </c>
      <c r="C104" s="222" t="s">
        <v>82</v>
      </c>
      <c r="D104" s="5" t="s">
        <v>83</v>
      </c>
      <c r="E104" s="14" t="s">
        <v>280</v>
      </c>
    </row>
    <row r="105" spans="1:12">
      <c r="A105" s="215" t="s">
        <v>303</v>
      </c>
      <c r="B105" s="215">
        <f>ROW()</f>
        <v>105</v>
      </c>
      <c r="C105" s="215"/>
      <c r="D105" s="220" t="s">
        <v>304</v>
      </c>
      <c r="E105" s="54"/>
    </row>
    <row r="106" spans="1:12">
      <c r="A106" s="215" t="s">
        <v>303</v>
      </c>
      <c r="B106" s="215">
        <f>ROW()</f>
        <v>106</v>
      </c>
      <c r="C106" s="215" t="s">
        <v>100</v>
      </c>
      <c r="D106" s="220" t="s">
        <v>305</v>
      </c>
      <c r="E106" s="54"/>
    </row>
    <row r="107" spans="1:12">
      <c r="A107" s="215" t="s">
        <v>303</v>
      </c>
      <c r="B107" s="215">
        <f>ROW()</f>
        <v>107</v>
      </c>
      <c r="C107" s="215" t="s">
        <v>102</v>
      </c>
      <c r="D107" s="220" t="s">
        <v>306</v>
      </c>
      <c r="E107" s="54"/>
    </row>
    <row r="108" spans="1:12">
      <c r="A108" s="215" t="s">
        <v>303</v>
      </c>
      <c r="B108" s="215">
        <f>ROW()</f>
        <v>108</v>
      </c>
      <c r="C108" s="215" t="s">
        <v>100</v>
      </c>
      <c r="D108" s="220" t="s">
        <v>307</v>
      </c>
      <c r="E108" s="54"/>
    </row>
    <row r="109" spans="1:12">
      <c r="A109" s="215" t="s">
        <v>303</v>
      </c>
      <c r="B109" s="215">
        <f>ROW()</f>
        <v>109</v>
      </c>
      <c r="C109" s="215" t="s">
        <v>102</v>
      </c>
      <c r="D109" s="220" t="s">
        <v>308</v>
      </c>
      <c r="E109" s="54"/>
    </row>
    <row r="110" spans="1:12" ht="15" thickBot="1">
      <c r="A110" s="215" t="s">
        <v>303</v>
      </c>
      <c r="B110" s="215">
        <f>ROW()</f>
        <v>110</v>
      </c>
      <c r="C110" s="215" t="s">
        <v>102</v>
      </c>
      <c r="D110" s="220" t="s">
        <v>309</v>
      </c>
      <c r="E110" s="54"/>
    </row>
    <row r="111" spans="1:12" ht="15" thickBot="1">
      <c r="A111" s="215" t="s">
        <v>303</v>
      </c>
      <c r="B111" s="215">
        <f>ROW()</f>
        <v>111</v>
      </c>
      <c r="C111" s="215"/>
      <c r="D111" s="219" t="s">
        <v>310</v>
      </c>
      <c r="E111" s="156">
        <f>E105+E106-E107+E108-E109-E110</f>
        <v>0</v>
      </c>
    </row>
    <row r="112" spans="1:12">
      <c r="A112" s="215" t="s">
        <v>303</v>
      </c>
      <c r="B112" s="215">
        <f>ROW()</f>
        <v>112</v>
      </c>
      <c r="C112" s="215"/>
      <c r="D112" s="220" t="s">
        <v>311</v>
      </c>
      <c r="E112" s="54"/>
    </row>
    <row r="113" spans="1:5">
      <c r="A113" s="215" t="s">
        <v>303</v>
      </c>
      <c r="B113" s="215">
        <f>ROW()</f>
        <v>113</v>
      </c>
      <c r="C113" s="215" t="s">
        <v>100</v>
      </c>
      <c r="D113" s="220" t="s">
        <v>312</v>
      </c>
      <c r="E113" s="54"/>
    </row>
    <row r="114" spans="1:5">
      <c r="A114" s="215" t="s">
        <v>303</v>
      </c>
      <c r="B114" s="215">
        <f>ROW()</f>
        <v>114</v>
      </c>
      <c r="C114" s="215" t="s">
        <v>100</v>
      </c>
      <c r="D114" s="220" t="s">
        <v>307</v>
      </c>
      <c r="E114" s="47">
        <f>E108</f>
        <v>0</v>
      </c>
    </row>
    <row r="115" spans="1:5">
      <c r="A115" s="215" t="s">
        <v>303</v>
      </c>
      <c r="B115" s="215">
        <f>ROW()</f>
        <v>115</v>
      </c>
      <c r="C115" s="215" t="s">
        <v>102</v>
      </c>
      <c r="D115" s="220" t="s">
        <v>308</v>
      </c>
      <c r="E115" s="47">
        <f t="shared" ref="E115:E116" si="3">E109</f>
        <v>0</v>
      </c>
    </row>
    <row r="116" spans="1:5" ht="15" thickBot="1">
      <c r="A116" s="215" t="s">
        <v>303</v>
      </c>
      <c r="B116" s="215">
        <f>ROW()</f>
        <v>116</v>
      </c>
      <c r="C116" s="215" t="s">
        <v>102</v>
      </c>
      <c r="D116" s="220" t="s">
        <v>309</v>
      </c>
      <c r="E116" s="47">
        <f t="shared" si="3"/>
        <v>0</v>
      </c>
    </row>
    <row r="117" spans="1:5" ht="15" thickBot="1">
      <c r="A117" s="215" t="s">
        <v>303</v>
      </c>
      <c r="B117" s="215">
        <f>ROW()</f>
        <v>117</v>
      </c>
      <c r="C117" s="215"/>
      <c r="D117" s="219" t="s">
        <v>313</v>
      </c>
      <c r="E117" s="156">
        <f>E112+E113+E114-E115-E116</f>
        <v>0</v>
      </c>
    </row>
    <row r="118" spans="1:5" ht="15" thickBot="1">
      <c r="A118" s="215" t="s">
        <v>303</v>
      </c>
      <c r="B118" s="215">
        <f>ROW()</f>
        <v>118</v>
      </c>
      <c r="C118" s="215" t="s">
        <v>100</v>
      </c>
      <c r="D118" s="220" t="s">
        <v>314</v>
      </c>
      <c r="E118" s="54"/>
    </row>
    <row r="119" spans="1:5" ht="15" thickBot="1">
      <c r="A119" s="215" t="s">
        <v>303</v>
      </c>
      <c r="B119" s="215">
        <f>ROW()</f>
        <v>119</v>
      </c>
      <c r="C119" s="215"/>
      <c r="D119" s="219" t="s">
        <v>315</v>
      </c>
      <c r="E119" s="156">
        <f>E118+E113</f>
        <v>0</v>
      </c>
    </row>
    <row r="120" spans="1:5">
      <c r="A120" s="215" t="s">
        <v>303</v>
      </c>
      <c r="B120" s="215">
        <f>ROW()</f>
        <v>120</v>
      </c>
      <c r="C120" s="215"/>
      <c r="D120" s="220" t="s">
        <v>316</v>
      </c>
      <c r="E120" s="77"/>
    </row>
  </sheetData>
  <mergeCells count="1">
    <mergeCell ref="B34:F34"/>
  </mergeCells>
  <phoneticPr fontId="12" type="noConversion"/>
  <pageMargins left="0.25" right="0.25" top="0.75" bottom="0.75" header="0.3" footer="0.3"/>
  <pageSetup paperSize="9" scale="43" fitToHeight="0" orientation="portrait" r:id="rId1"/>
  <colBreaks count="1" manualBreakCount="1">
    <brk id="9" min="81" max="119" man="1"/>
  </colBreaks>
  <tableParts count="10">
    <tablePart r:id="rId2"/>
    <tablePart r:id="rId3"/>
    <tablePart r:id="rId4"/>
    <tablePart r:id="rId5"/>
    <tablePart r:id="rId6"/>
    <tablePart r:id="rId7"/>
    <tablePart r:id="rId8"/>
    <tablePart r:id="rId9"/>
    <tablePart r:id="rId10"/>
    <tablePart r:id="rId1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DD717-2D08-4498-9866-EFB05F90C8B4}">
  <sheetPr>
    <pageSetUpPr fitToPage="1"/>
  </sheetPr>
  <dimension ref="A1:F44"/>
  <sheetViews>
    <sheetView showGridLines="0" view="pageBreakPreview" topLeftCell="B1" zoomScaleNormal="100" zoomScaleSheetLayoutView="100" workbookViewId="0">
      <selection activeCell="B19" sqref="B19"/>
    </sheetView>
  </sheetViews>
  <sheetFormatPr defaultRowHeight="14.5"/>
  <cols>
    <col min="1" max="1" width="6.54296875" hidden="1" customWidth="1"/>
    <col min="2" max="2" width="9.26953125" bestFit="1" customWidth="1"/>
    <col min="3" max="3" width="31.26953125" customWidth="1"/>
    <col min="4" max="4" width="50.54296875" customWidth="1"/>
    <col min="5" max="5" width="23.81640625" customWidth="1"/>
    <col min="6" max="6" width="25.1796875" customWidth="1"/>
    <col min="7" max="7" width="17.26953125" customWidth="1"/>
  </cols>
  <sheetData>
    <row r="1" spans="1:5" ht="21">
      <c r="B1" s="224" t="str">
        <f>_company_name&amp;"    |     Pricing period starting year - "&amp;TEXT(_pp_starting_year,"dd mmmm yyyy")&amp;"    |     Disclosure year - "&amp;TEXT(_dy_year_ended,"yyyy")</f>
        <v>[select name of the airport]    |     Pricing period starting year - 30 June 2023    |     Disclosure year - 2026</v>
      </c>
    </row>
    <row r="2" spans="1:5" ht="23.5">
      <c r="B2" s="53"/>
    </row>
    <row r="3" spans="1:5" ht="23.5">
      <c r="B3" s="1" t="s">
        <v>317</v>
      </c>
      <c r="D3" s="15"/>
      <c r="E3" s="15"/>
    </row>
    <row r="4" spans="1:5" ht="21">
      <c r="B4" s="3" t="s">
        <v>318</v>
      </c>
      <c r="D4" s="15"/>
      <c r="E4" s="15"/>
    </row>
    <row r="5" spans="1:5">
      <c r="A5" s="221" t="s">
        <v>80</v>
      </c>
      <c r="B5" s="222" t="s">
        <v>81</v>
      </c>
      <c r="C5" s="5" t="s">
        <v>83</v>
      </c>
      <c r="D5" s="14" t="s">
        <v>179</v>
      </c>
    </row>
    <row r="6" spans="1:5">
      <c r="A6" s="215" t="s">
        <v>318</v>
      </c>
      <c r="B6" s="215">
        <f>ROW()</f>
        <v>6</v>
      </c>
      <c r="C6" s="220" t="s">
        <v>162</v>
      </c>
      <c r="D6" s="54"/>
    </row>
    <row r="7" spans="1:5">
      <c r="A7" s="215" t="s">
        <v>318</v>
      </c>
      <c r="B7" s="215">
        <f>ROW()</f>
        <v>7</v>
      </c>
      <c r="C7" s="220" t="s">
        <v>319</v>
      </c>
      <c r="D7" s="54"/>
    </row>
    <row r="8" spans="1:5">
      <c r="A8" s="215" t="s">
        <v>318</v>
      </c>
      <c r="B8" s="215">
        <f>ROW()</f>
        <v>8</v>
      </c>
      <c r="C8" s="220" t="s">
        <v>320</v>
      </c>
      <c r="D8" s="54"/>
    </row>
    <row r="9" spans="1:5">
      <c r="A9" s="215" t="s">
        <v>318</v>
      </c>
      <c r="B9" s="215">
        <f>ROW()</f>
        <v>9</v>
      </c>
      <c r="C9" s="220" t="s">
        <v>321</v>
      </c>
      <c r="D9" s="54"/>
    </row>
    <row r="10" spans="1:5">
      <c r="A10" s="215" t="s">
        <v>318</v>
      </c>
      <c r="B10" s="215">
        <f>ROW()</f>
        <v>10</v>
      </c>
      <c r="C10" s="220" t="s">
        <v>322</v>
      </c>
      <c r="D10" s="54"/>
    </row>
    <row r="13" spans="1:5" ht="21">
      <c r="B13" s="3" t="s">
        <v>323</v>
      </c>
      <c r="D13" s="15"/>
      <c r="E13" s="15"/>
    </row>
    <row r="14" spans="1:5">
      <c r="A14" s="221" t="s">
        <v>80</v>
      </c>
      <c r="B14" s="222" t="s">
        <v>81</v>
      </c>
      <c r="C14" s="5" t="s">
        <v>324</v>
      </c>
      <c r="D14" s="14" t="s">
        <v>325</v>
      </c>
    </row>
    <row r="15" spans="1:5">
      <c r="A15" s="215" t="s">
        <v>323</v>
      </c>
      <c r="B15" s="215">
        <f>ROW()</f>
        <v>15</v>
      </c>
      <c r="C15" s="86"/>
      <c r="D15" s="86"/>
    </row>
    <row r="16" spans="1:5">
      <c r="A16" s="215" t="s">
        <v>323</v>
      </c>
      <c r="B16" s="215">
        <f>ROW()</f>
        <v>16</v>
      </c>
      <c r="C16" s="86"/>
      <c r="D16" s="86"/>
    </row>
    <row r="17" spans="1:6">
      <c r="A17" s="215" t="s">
        <v>323</v>
      </c>
      <c r="B17" s="215">
        <f>ROW()</f>
        <v>17</v>
      </c>
      <c r="C17" s="86"/>
      <c r="D17" s="86"/>
    </row>
    <row r="18" spans="1:6">
      <c r="A18" s="215" t="s">
        <v>323</v>
      </c>
      <c r="B18" s="215">
        <f>ROW()</f>
        <v>18</v>
      </c>
      <c r="C18" s="86"/>
      <c r="D18" s="86"/>
    </row>
    <row r="19" spans="1:6">
      <c r="A19" s="215" t="s">
        <v>323</v>
      </c>
      <c r="B19" s="215">
        <f>ROW()</f>
        <v>19</v>
      </c>
      <c r="C19" s="86"/>
      <c r="D19" s="86"/>
    </row>
    <row r="20" spans="1:6">
      <c r="A20" s="215" t="s">
        <v>323</v>
      </c>
      <c r="B20" s="215">
        <f>ROW()</f>
        <v>20</v>
      </c>
      <c r="C20" s="86"/>
      <c r="D20" s="86"/>
    </row>
    <row r="23" spans="1:6" ht="21">
      <c r="B23" s="3" t="s">
        <v>326</v>
      </c>
      <c r="D23" s="15"/>
      <c r="E23" s="15"/>
    </row>
    <row r="24" spans="1:6" ht="29">
      <c r="A24" s="221" t="s">
        <v>80</v>
      </c>
      <c r="B24" s="222" t="s">
        <v>81</v>
      </c>
      <c r="C24" s="5" t="s">
        <v>324</v>
      </c>
      <c r="D24" s="14" t="s">
        <v>327</v>
      </c>
      <c r="E24" s="17" t="s">
        <v>328</v>
      </c>
      <c r="F24" s="17" t="s">
        <v>329</v>
      </c>
    </row>
    <row r="25" spans="1:6">
      <c r="A25" s="215" t="s">
        <v>326</v>
      </c>
      <c r="B25" s="215">
        <f>ROW()</f>
        <v>25</v>
      </c>
      <c r="C25" s="86"/>
      <c r="D25" s="86"/>
      <c r="E25" s="97"/>
      <c r="F25" s="54"/>
    </row>
    <row r="26" spans="1:6">
      <c r="A26" s="215" t="s">
        <v>326</v>
      </c>
      <c r="B26" s="215">
        <f>ROW()</f>
        <v>26</v>
      </c>
      <c r="C26" s="86"/>
      <c r="D26" s="86"/>
      <c r="E26" s="97"/>
      <c r="F26" s="54"/>
    </row>
    <row r="27" spans="1:6">
      <c r="A27" s="215" t="s">
        <v>326</v>
      </c>
      <c r="B27" s="215">
        <f>ROW()</f>
        <v>27</v>
      </c>
      <c r="C27" s="86"/>
      <c r="D27" s="86"/>
      <c r="E27" s="97"/>
      <c r="F27" s="54"/>
    </row>
    <row r="28" spans="1:6">
      <c r="A28" s="215" t="s">
        <v>326</v>
      </c>
      <c r="B28" s="215">
        <f>ROW()</f>
        <v>28</v>
      </c>
      <c r="C28" s="86"/>
      <c r="D28" s="86"/>
      <c r="E28" s="97"/>
      <c r="F28" s="54"/>
    </row>
    <row r="29" spans="1:6">
      <c r="A29" s="215" t="s">
        <v>326</v>
      </c>
      <c r="B29" s="215">
        <f>ROW()</f>
        <v>29</v>
      </c>
      <c r="C29" s="86"/>
      <c r="D29" s="86"/>
      <c r="E29" s="97"/>
      <c r="F29" s="54"/>
    </row>
    <row r="30" spans="1:6">
      <c r="A30" s="215" t="s">
        <v>326</v>
      </c>
      <c r="B30" s="215">
        <f>ROW()</f>
        <v>30</v>
      </c>
      <c r="C30" s="86"/>
      <c r="D30" s="86"/>
      <c r="E30" s="97"/>
      <c r="F30" s="54"/>
    </row>
    <row r="31" spans="1:6">
      <c r="A31" s="215" t="s">
        <v>326</v>
      </c>
      <c r="B31" s="215">
        <f>ROW()</f>
        <v>31</v>
      </c>
      <c r="C31" s="86"/>
      <c r="D31" s="86"/>
      <c r="E31" s="97"/>
      <c r="F31" s="54"/>
    </row>
    <row r="32" spans="1:6">
      <c r="A32" s="215" t="s">
        <v>326</v>
      </c>
      <c r="B32" s="215">
        <f>ROW()</f>
        <v>32</v>
      </c>
      <c r="C32" s="86"/>
      <c r="D32" s="86"/>
      <c r="E32" s="97"/>
      <c r="F32" s="54"/>
    </row>
    <row r="33" spans="1:6">
      <c r="A33" s="215" t="s">
        <v>326</v>
      </c>
      <c r="B33" s="215">
        <f>ROW()</f>
        <v>33</v>
      </c>
      <c r="C33" s="86"/>
      <c r="D33" s="86"/>
      <c r="E33" s="97"/>
      <c r="F33" s="54"/>
    </row>
    <row r="34" spans="1:6">
      <c r="A34" s="215" t="s">
        <v>326</v>
      </c>
      <c r="B34" s="215">
        <f>ROW()</f>
        <v>34</v>
      </c>
      <c r="C34" s="86"/>
      <c r="D34" s="86"/>
      <c r="E34" s="97"/>
      <c r="F34" s="54"/>
    </row>
    <row r="35" spans="1:6">
      <c r="A35" s="215" t="s">
        <v>326</v>
      </c>
      <c r="B35" s="215">
        <f>ROW()</f>
        <v>35</v>
      </c>
      <c r="C35" s="86"/>
      <c r="D35" s="86"/>
      <c r="E35" s="97"/>
      <c r="F35" s="54"/>
    </row>
    <row r="36" spans="1:6">
      <c r="A36" s="215" t="s">
        <v>326</v>
      </c>
      <c r="B36" s="215">
        <f>ROW()</f>
        <v>36</v>
      </c>
      <c r="C36" s="86"/>
      <c r="D36" s="86"/>
      <c r="E36" s="97"/>
      <c r="F36" s="54"/>
    </row>
    <row r="37" spans="1:6">
      <c r="A37" s="215" t="s">
        <v>326</v>
      </c>
      <c r="B37" s="215">
        <f>ROW()</f>
        <v>37</v>
      </c>
      <c r="C37" s="86"/>
      <c r="D37" s="86"/>
      <c r="E37" s="97"/>
      <c r="F37" s="54"/>
    </row>
    <row r="38" spans="1:6">
      <c r="A38" s="215" t="s">
        <v>326</v>
      </c>
      <c r="B38" s="215">
        <f>ROW()</f>
        <v>38</v>
      </c>
      <c r="C38" s="86"/>
      <c r="D38" s="86"/>
      <c r="E38" s="97"/>
      <c r="F38" s="54"/>
    </row>
    <row r="39" spans="1:6">
      <c r="A39" s="215" t="s">
        <v>326</v>
      </c>
      <c r="B39" s="215">
        <f>ROW()</f>
        <v>39</v>
      </c>
      <c r="C39" s="86"/>
      <c r="D39" s="86"/>
      <c r="E39" s="97"/>
      <c r="F39" s="54"/>
    </row>
    <row r="40" spans="1:6">
      <c r="A40" s="215" t="s">
        <v>326</v>
      </c>
      <c r="B40" s="215">
        <f>ROW()</f>
        <v>40</v>
      </c>
      <c r="C40" s="86"/>
      <c r="D40" s="86"/>
      <c r="E40" s="97"/>
      <c r="F40" s="54"/>
    </row>
    <row r="41" spans="1:6">
      <c r="A41" s="215" t="s">
        <v>326</v>
      </c>
      <c r="B41" s="215">
        <f>ROW()</f>
        <v>41</v>
      </c>
      <c r="C41" s="86"/>
      <c r="D41" s="86"/>
      <c r="E41" s="97"/>
      <c r="F41" s="54"/>
    </row>
    <row r="42" spans="1:6">
      <c r="A42" s="215" t="s">
        <v>326</v>
      </c>
      <c r="B42" s="215">
        <f>ROW()</f>
        <v>42</v>
      </c>
      <c r="C42" s="86"/>
      <c r="D42" s="86"/>
      <c r="E42" s="97"/>
      <c r="F42" s="54"/>
    </row>
    <row r="43" spans="1:6">
      <c r="A43" s="215" t="s">
        <v>326</v>
      </c>
      <c r="B43" s="215">
        <f>ROW()</f>
        <v>43</v>
      </c>
      <c r="C43" s="86"/>
      <c r="D43" s="86"/>
      <c r="E43" s="97"/>
      <c r="F43" s="54"/>
    </row>
    <row r="44" spans="1:6">
      <c r="A44" s="230"/>
      <c r="B44" s="230" t="s">
        <v>330</v>
      </c>
      <c r="C44" s="231"/>
      <c r="D44" s="232"/>
      <c r="E44" s="228"/>
      <c r="F44" s="229"/>
    </row>
  </sheetData>
  <phoneticPr fontId="12" type="noConversion"/>
  <pageMargins left="0.25" right="0.25" top="0.75" bottom="0.75" header="0.3" footer="0.3"/>
  <pageSetup paperSize="9" scale="70" fitToHeight="0" orientation="portrait" r:id="rId1"/>
  <tableParts count="3">
    <tablePart r:id="rId2"/>
    <tablePart r:id="rId3"/>
    <tablePart r:id="rId4"/>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1922E-1ED9-46B0-B658-4165C00219A7}">
  <sheetPr>
    <pageSetUpPr fitToPage="1"/>
  </sheetPr>
  <dimension ref="A1:O73"/>
  <sheetViews>
    <sheetView showGridLines="0" view="pageBreakPreview" topLeftCell="B1" zoomScaleNormal="100" zoomScaleSheetLayoutView="100" workbookViewId="0">
      <selection activeCell="B2" sqref="B2"/>
    </sheetView>
  </sheetViews>
  <sheetFormatPr defaultRowHeight="14.5"/>
  <cols>
    <col min="1" max="1" width="51.453125" hidden="1" customWidth="1"/>
    <col min="2" max="2" width="9.26953125" bestFit="1" customWidth="1"/>
    <col min="3" max="3" width="31.7265625" bestFit="1" customWidth="1"/>
    <col min="4" max="4" width="37.26953125" bestFit="1" customWidth="1"/>
    <col min="5" max="5" width="36.7265625" bestFit="1" customWidth="1"/>
    <col min="6" max="6" width="22.26953125" bestFit="1" customWidth="1"/>
    <col min="7" max="7" width="22.7265625" bestFit="1" customWidth="1"/>
    <col min="8" max="8" width="20.7265625" bestFit="1" customWidth="1"/>
    <col min="9" max="10" width="21.26953125" bestFit="1" customWidth="1"/>
    <col min="11" max="11" width="12.26953125" customWidth="1"/>
    <col min="12" max="12" width="20.7265625" bestFit="1" customWidth="1"/>
    <col min="13" max="13" width="12" bestFit="1" customWidth="1"/>
    <col min="14" max="14" width="14.26953125" customWidth="1"/>
    <col min="15" max="15" width="14" customWidth="1"/>
  </cols>
  <sheetData>
    <row r="1" spans="1:10" ht="23.5">
      <c r="B1" s="53" t="str">
        <f>_company_name&amp;"    |     Pricing period starting year - "&amp;TEXT(_pp_starting_year,"dd mmmm yyyy")&amp;"    |     Disclosure year - "&amp;TEXT(_dy_year_ended,"yyyy")</f>
        <v>[select name of the airport]    |     Pricing period starting year - 30 June 2023    |     Disclosure year - 2026</v>
      </c>
    </row>
    <row r="3" spans="1:10" ht="23.5">
      <c r="B3" s="1" t="s">
        <v>331</v>
      </c>
      <c r="D3" s="15"/>
      <c r="E3" s="15"/>
    </row>
    <row r="4" spans="1:10" ht="21">
      <c r="B4" s="3" t="s">
        <v>332</v>
      </c>
      <c r="D4" s="15"/>
      <c r="E4" s="15"/>
    </row>
    <row r="5" spans="1:10" ht="29">
      <c r="A5" s="221" t="s">
        <v>80</v>
      </c>
      <c r="B5" s="222" t="s">
        <v>81</v>
      </c>
      <c r="C5" s="5" t="s">
        <v>83</v>
      </c>
      <c r="D5" s="6" t="s">
        <v>151</v>
      </c>
      <c r="E5" s="17" t="s">
        <v>333</v>
      </c>
      <c r="F5" s="17" t="s">
        <v>334</v>
      </c>
      <c r="G5" s="17" t="s">
        <v>335</v>
      </c>
      <c r="H5" s="17" t="s">
        <v>336</v>
      </c>
      <c r="I5" s="17" t="s">
        <v>337</v>
      </c>
      <c r="J5" s="17" t="s">
        <v>338</v>
      </c>
    </row>
    <row r="6" spans="1:10">
      <c r="A6" s="215" t="s">
        <v>332</v>
      </c>
      <c r="B6" s="215">
        <f>ROW()</f>
        <v>6</v>
      </c>
      <c r="C6" s="220" t="s">
        <v>287</v>
      </c>
      <c r="D6" s="220" t="s">
        <v>291</v>
      </c>
      <c r="E6" s="47">
        <f>'S4.RAB Roll-Forward'!E84</f>
        <v>0</v>
      </c>
      <c r="F6" s="47">
        <f>IF(L26,CHOOSE(O26,E35,F35,G35,H35,I35),"Not defined")</f>
        <v>0</v>
      </c>
      <c r="G6" s="98" t="str">
        <f>IF(OR(NOT(ISNUMBER(F6)),F6=0),"Not defined",(E6/F6)-1)</f>
        <v>Not defined</v>
      </c>
      <c r="H6" s="54"/>
      <c r="I6" s="47">
        <f>IF(L26,CHOOSE(O26,E35,E35+F35,E35+F35+G35,E35+F35+G35+H35,E35+F35+G35+H35+I35),"Not defined")</f>
        <v>0</v>
      </c>
      <c r="J6" s="98" t="str">
        <f>IF(OR(NOT(ISNUMBER(I6)),I6=0),"Not defined",(H6/I6)-1)</f>
        <v>Not defined</v>
      </c>
    </row>
    <row r="7" spans="1:10">
      <c r="A7" s="215" t="s">
        <v>332</v>
      </c>
      <c r="B7" s="215">
        <f>ROW()</f>
        <v>7</v>
      </c>
      <c r="C7" s="220" t="s">
        <v>287</v>
      </c>
      <c r="D7" s="220" t="s">
        <v>292</v>
      </c>
      <c r="E7" s="47">
        <f>'S4.RAB Roll-Forward'!E85</f>
        <v>0</v>
      </c>
      <c r="F7" s="47">
        <f>IF(L26,CHOOSE(O26,E36,F36,G36,H36,I36),"Not defined")</f>
        <v>0</v>
      </c>
      <c r="G7" s="98" t="str">
        <f>IF(OR(NOT(ISNUMBER(F7)),F7=0),"Not defined",(E7/F7)-1)</f>
        <v>Not defined</v>
      </c>
      <c r="H7" s="54"/>
      <c r="I7" s="47">
        <f>IF(L26,CHOOSE(O26,E36,E36+F36,E36+F36+G36,E36+F36+G36+H36,E36+F36+G36+H36+I36),"Not defined")</f>
        <v>0</v>
      </c>
      <c r="J7" s="98" t="str">
        <f>IF(OR(NOT(ISNUMBER(I7)),I7=0),"Not defined",(H7/I7)-1)</f>
        <v>Not defined</v>
      </c>
    </row>
    <row r="8" spans="1:10">
      <c r="A8" s="215" t="s">
        <v>332</v>
      </c>
      <c r="B8" s="215">
        <f>ROW()</f>
        <v>8</v>
      </c>
      <c r="C8" s="219" t="s">
        <v>287</v>
      </c>
      <c r="D8" s="219" t="s">
        <v>293</v>
      </c>
      <c r="E8" s="47">
        <f>SUM(E6:E7)</f>
        <v>0</v>
      </c>
      <c r="F8" s="47">
        <f>SUM(F6:F7)</f>
        <v>0</v>
      </c>
      <c r="G8" s="98" t="str">
        <f>IF(OR(NOT(ISNUMBER(F8)),F8=0),"Not defined",(E8/F8)-1)</f>
        <v>Not defined</v>
      </c>
      <c r="H8" s="47">
        <f>SUM(H6:H7)</f>
        <v>0</v>
      </c>
      <c r="I8" s="47">
        <f>SUM(I6:I7)</f>
        <v>0</v>
      </c>
      <c r="J8" s="98" t="str">
        <f>IF(I8=0,"Not defined",H8/I8-1)</f>
        <v>Not defined</v>
      </c>
    </row>
    <row r="9" spans="1:10">
      <c r="A9" s="215" t="s">
        <v>332</v>
      </c>
      <c r="B9" s="215">
        <f>ROW()</f>
        <v>9</v>
      </c>
      <c r="C9" s="220" t="s">
        <v>319</v>
      </c>
      <c r="D9" s="220" t="s">
        <v>166</v>
      </c>
      <c r="E9" s="47">
        <f>'S2.Regulatory Profit'!F16</f>
        <v>0</v>
      </c>
      <c r="F9" s="47">
        <f>IF(L26,CHOOSE(O26,E38,F38,G38,H38,I38),"Not defined")</f>
        <v>0</v>
      </c>
      <c r="G9" s="98" t="str">
        <f t="shared" ref="G9:G12" si="0">IF(OR(NOT(ISNUMBER(F9)),F9=0),"Not defined",(E9/F9)-1)</f>
        <v>Not defined</v>
      </c>
      <c r="H9" s="54"/>
      <c r="I9" s="47">
        <f>IF(L26,CHOOSE(O26,E38,E38+F38,E38+F38+G38,E38+F38+G38+H38,E38+F38+G38+H38+I38),"Not defined")</f>
        <v>0</v>
      </c>
      <c r="J9" s="98" t="str">
        <f>IF(OR(NOT(ISNUMBER(I9)),I9=0),"Not defined",(H9/I9)-1)</f>
        <v>Not defined</v>
      </c>
    </row>
    <row r="10" spans="1:10">
      <c r="A10" s="215" t="s">
        <v>332</v>
      </c>
      <c r="B10" s="215">
        <f>ROW()</f>
        <v>10</v>
      </c>
      <c r="C10" s="220" t="s">
        <v>319</v>
      </c>
      <c r="D10" s="220" t="s">
        <v>167</v>
      </c>
      <c r="E10" s="47">
        <f>'S2.Regulatory Profit'!F17</f>
        <v>0</v>
      </c>
      <c r="F10" s="47">
        <f>IF(L26,CHOOSE(O26,E39,F39,G39,H39,I39),"Not defined")</f>
        <v>0</v>
      </c>
      <c r="G10" s="98" t="str">
        <f t="shared" si="0"/>
        <v>Not defined</v>
      </c>
      <c r="H10" s="54"/>
      <c r="I10" s="47">
        <f>IF(L26,CHOOSE(O26,E39,E39+F39,E39+F39+G39,E39+F39+G39+H39,E39+F39+G39+H39+I39),"Not defined")</f>
        <v>0</v>
      </c>
      <c r="J10" s="98" t="str">
        <f>IF(OR(NOT(ISNUMBER(I10)),I10=0),"Not defined",(H10/I10)-1)</f>
        <v>Not defined</v>
      </c>
    </row>
    <row r="11" spans="1:10">
      <c r="A11" s="215" t="s">
        <v>332</v>
      </c>
      <c r="B11" s="215">
        <f>ROW()</f>
        <v>11</v>
      </c>
      <c r="C11" s="220" t="s">
        <v>319</v>
      </c>
      <c r="D11" s="220" t="s">
        <v>168</v>
      </c>
      <c r="E11" s="47">
        <f>'S2.Regulatory Profit'!F18</f>
        <v>0</v>
      </c>
      <c r="F11" s="47">
        <f>IF(L26,CHOOSE(O26,E40,F40,G40,H40,I40),"Not defined")</f>
        <v>0</v>
      </c>
      <c r="G11" s="98" t="str">
        <f t="shared" si="0"/>
        <v>Not defined</v>
      </c>
      <c r="H11" s="54"/>
      <c r="I11" s="47">
        <f>IF(L26,CHOOSE(O26,E40,E40+F40,E40+F40+G40,E40+F40+G40+H40,E40+F40+G40+H40+I40),"Not defined")</f>
        <v>0</v>
      </c>
      <c r="J11" s="98" t="str">
        <f>IF(OR(NOT(ISNUMBER(I11)),I11=0),"Not defined",(H11/I11)-1)</f>
        <v>Not defined</v>
      </c>
    </row>
    <row r="12" spans="1:10">
      <c r="A12" s="215" t="s">
        <v>332</v>
      </c>
      <c r="B12" s="215">
        <f>ROW()</f>
        <v>12</v>
      </c>
      <c r="C12" s="219" t="s">
        <v>319</v>
      </c>
      <c r="D12" s="219" t="s">
        <v>169</v>
      </c>
      <c r="E12" s="47">
        <f>SUM(E9:E11)</f>
        <v>0</v>
      </c>
      <c r="F12" s="47">
        <f>SUM(F9:F11)</f>
        <v>0</v>
      </c>
      <c r="G12" s="98" t="str">
        <f t="shared" si="0"/>
        <v>Not defined</v>
      </c>
      <c r="H12" s="47">
        <f>SUM(H9:H11)</f>
        <v>0</v>
      </c>
      <c r="I12" s="47">
        <f>SUM(I9:I11)</f>
        <v>0</v>
      </c>
      <c r="J12" s="98" t="str">
        <f>IF(I12=0,"Not defined",H12/I12-1)</f>
        <v>Not defined</v>
      </c>
    </row>
    <row r="13" spans="1:10">
      <c r="A13" s="45"/>
    </row>
    <row r="14" spans="1:10">
      <c r="A14" s="45"/>
    </row>
    <row r="15" spans="1:10" ht="21">
      <c r="B15" s="3" t="s">
        <v>339</v>
      </c>
      <c r="D15" s="15"/>
      <c r="E15" s="15"/>
    </row>
    <row r="16" spans="1:10" ht="29">
      <c r="A16" s="221" t="s">
        <v>80</v>
      </c>
      <c r="B16" s="222" t="s">
        <v>81</v>
      </c>
      <c r="C16" s="5" t="s">
        <v>83</v>
      </c>
      <c r="D16" s="6" t="s">
        <v>151</v>
      </c>
      <c r="E16" s="17" t="s">
        <v>333</v>
      </c>
      <c r="F16" s="17" t="s">
        <v>334</v>
      </c>
      <c r="G16" s="17" t="s">
        <v>335</v>
      </c>
      <c r="H16" s="17" t="s">
        <v>336</v>
      </c>
      <c r="I16" s="17" t="s">
        <v>337</v>
      </c>
      <c r="J16" s="17" t="s">
        <v>338</v>
      </c>
    </row>
    <row r="17" spans="1:15">
      <c r="A17" s="215" t="s">
        <v>339</v>
      </c>
      <c r="B17" s="215">
        <f>ROW()</f>
        <v>17</v>
      </c>
      <c r="C17" s="220" t="s">
        <v>340</v>
      </c>
      <c r="D17" s="99" t="s">
        <v>341</v>
      </c>
      <c r="E17" s="54"/>
      <c r="F17" s="47">
        <f t="shared" ref="F17:F26" si="1">IF($L$26,CHOOSE($O$26,$E45,$F45,$G45,$H45,$I45),"Not defined")</f>
        <v>0</v>
      </c>
      <c r="G17" s="98" t="str">
        <f>IF(OR(NOT(ISNUMBER(F17)),F17=0),"Not defined",(E17/F17)-1)</f>
        <v>Not defined</v>
      </c>
      <c r="H17" s="54"/>
      <c r="I17" s="47">
        <f t="shared" ref="I17:I26" si="2">IF($L$26,CHOOSE($O$26,$E45,$E45+$F45,$E45+$F45+$G45,$E45+$F45+$G45+$H45,$E45+$F45+$G45+$H45+$I45),"Not defined")</f>
        <v>0</v>
      </c>
      <c r="J17" s="98" t="str">
        <f>IF(OR(NOT(ISNUMBER(I17)),I17=0),"Not defined",(H17/I17)-1)</f>
        <v>Not defined</v>
      </c>
    </row>
    <row r="18" spans="1:15">
      <c r="A18" s="215" t="s">
        <v>339</v>
      </c>
      <c r="B18" s="215">
        <f>ROW()</f>
        <v>18</v>
      </c>
      <c r="C18" s="220" t="s">
        <v>340</v>
      </c>
      <c r="D18" s="100" t="s">
        <v>342</v>
      </c>
      <c r="E18" s="54"/>
      <c r="F18" s="47">
        <f t="shared" si="1"/>
        <v>0</v>
      </c>
      <c r="G18" s="98" t="str">
        <f>IF(OR(NOT(ISNUMBER(F18)),F18=0),"Not defined",(E18/F18)-1)</f>
        <v>Not defined</v>
      </c>
      <c r="H18" s="54"/>
      <c r="I18" s="47">
        <f t="shared" si="2"/>
        <v>0</v>
      </c>
      <c r="J18" s="98" t="str">
        <f t="shared" ref="J18:J25" si="3">IF(OR(NOT(ISNUMBER(I18)),I18=0),"Not defined",(H18/I18)-1)</f>
        <v>Not defined</v>
      </c>
    </row>
    <row r="19" spans="1:15">
      <c r="A19" s="215" t="s">
        <v>339</v>
      </c>
      <c r="B19" s="215">
        <f>ROW()</f>
        <v>19</v>
      </c>
      <c r="C19" s="220" t="s">
        <v>340</v>
      </c>
      <c r="D19" s="100" t="s">
        <v>343</v>
      </c>
      <c r="E19" s="54"/>
      <c r="F19" s="47">
        <f t="shared" si="1"/>
        <v>0</v>
      </c>
      <c r="G19" s="98" t="str">
        <f t="shared" ref="G19:G25" si="4">IF(OR(NOT(ISNUMBER(F19)),F19=0),"Not defined",(E19/F19)-1)</f>
        <v>Not defined</v>
      </c>
      <c r="H19" s="54"/>
      <c r="I19" s="47">
        <f t="shared" si="2"/>
        <v>0</v>
      </c>
      <c r="J19" s="98" t="str">
        <f t="shared" si="3"/>
        <v>Not defined</v>
      </c>
    </row>
    <row r="20" spans="1:15">
      <c r="A20" s="215" t="s">
        <v>339</v>
      </c>
      <c r="B20" s="215">
        <f>ROW()</f>
        <v>20</v>
      </c>
      <c r="C20" s="220" t="s">
        <v>340</v>
      </c>
      <c r="D20" s="100" t="s">
        <v>344</v>
      </c>
      <c r="E20" s="54"/>
      <c r="F20" s="47">
        <f>IF($L$26,CHOOSE($O$26,$E48,$F48,$G48,$H48,$I48),"Not defined")</f>
        <v>0</v>
      </c>
      <c r="G20" s="98" t="str">
        <f t="shared" si="4"/>
        <v>Not defined</v>
      </c>
      <c r="H20" s="54"/>
      <c r="I20" s="47">
        <f t="shared" si="2"/>
        <v>0</v>
      </c>
      <c r="J20" s="98" t="str">
        <f t="shared" si="3"/>
        <v>Not defined</v>
      </c>
    </row>
    <row r="21" spans="1:15">
      <c r="A21" s="215" t="s">
        <v>339</v>
      </c>
      <c r="B21" s="215">
        <f>ROW()</f>
        <v>21</v>
      </c>
      <c r="C21" s="220" t="s">
        <v>340</v>
      </c>
      <c r="D21" s="100" t="s">
        <v>345</v>
      </c>
      <c r="E21" s="54"/>
      <c r="F21" s="47">
        <f>IF($L$26,CHOOSE($O$26,$E49,$F49,$G49,$H49,$I49),"Not defined")</f>
        <v>0</v>
      </c>
      <c r="G21" s="98" t="str">
        <f>IF(OR(NOT(ISNUMBER(F21)),F21=0),"Not defined",(E21/F21)-1)</f>
        <v>Not defined</v>
      </c>
      <c r="H21" s="54"/>
      <c r="I21" s="47">
        <f t="shared" si="2"/>
        <v>0</v>
      </c>
      <c r="J21" s="98" t="str">
        <f t="shared" si="3"/>
        <v>Not defined</v>
      </c>
    </row>
    <row r="22" spans="1:15">
      <c r="A22" s="215" t="s">
        <v>339</v>
      </c>
      <c r="B22" s="215">
        <f>ROW()</f>
        <v>22</v>
      </c>
      <c r="C22" s="220" t="s">
        <v>340</v>
      </c>
      <c r="D22" s="100" t="s">
        <v>346</v>
      </c>
      <c r="E22" s="54"/>
      <c r="F22" s="47">
        <f t="shared" si="1"/>
        <v>0</v>
      </c>
      <c r="G22" s="98" t="str">
        <f t="shared" si="4"/>
        <v>Not defined</v>
      </c>
      <c r="H22" s="54"/>
      <c r="I22" s="47">
        <f t="shared" si="2"/>
        <v>0</v>
      </c>
      <c r="J22" s="98" t="str">
        <f t="shared" si="3"/>
        <v>Not defined</v>
      </c>
    </row>
    <row r="23" spans="1:15">
      <c r="A23" s="215" t="s">
        <v>339</v>
      </c>
      <c r="B23" s="215">
        <f>ROW()</f>
        <v>23</v>
      </c>
      <c r="C23" s="220" t="s">
        <v>340</v>
      </c>
      <c r="D23" s="100" t="s">
        <v>347</v>
      </c>
      <c r="E23" s="54"/>
      <c r="F23" s="47">
        <f t="shared" si="1"/>
        <v>0</v>
      </c>
      <c r="G23" s="98" t="str">
        <f t="shared" si="4"/>
        <v>Not defined</v>
      </c>
      <c r="H23" s="54"/>
      <c r="I23" s="47">
        <f t="shared" si="2"/>
        <v>0</v>
      </c>
      <c r="J23" s="98" t="str">
        <f t="shared" si="3"/>
        <v>Not defined</v>
      </c>
    </row>
    <row r="24" spans="1:15">
      <c r="A24" s="215" t="s">
        <v>339</v>
      </c>
      <c r="B24" s="215">
        <f>ROW()</f>
        <v>24</v>
      </c>
      <c r="C24" s="220" t="s">
        <v>340</v>
      </c>
      <c r="D24" s="100" t="s">
        <v>348</v>
      </c>
      <c r="E24" s="54"/>
      <c r="F24" s="47">
        <f t="shared" si="1"/>
        <v>0</v>
      </c>
      <c r="G24" s="98" t="str">
        <f t="shared" si="4"/>
        <v>Not defined</v>
      </c>
      <c r="H24" s="54"/>
      <c r="I24" s="47">
        <f t="shared" si="2"/>
        <v>0</v>
      </c>
      <c r="J24" s="98" t="str">
        <f t="shared" si="3"/>
        <v>Not defined</v>
      </c>
    </row>
    <row r="25" spans="1:15">
      <c r="A25" s="215" t="s">
        <v>339</v>
      </c>
      <c r="B25" s="215">
        <f>ROW()</f>
        <v>25</v>
      </c>
      <c r="C25" s="220" t="s">
        <v>340</v>
      </c>
      <c r="D25" s="100" t="s">
        <v>349</v>
      </c>
      <c r="E25" s="54"/>
      <c r="F25" s="47">
        <f t="shared" si="1"/>
        <v>0</v>
      </c>
      <c r="G25" s="98" t="str">
        <f t="shared" si="4"/>
        <v>Not defined</v>
      </c>
      <c r="H25" s="54"/>
      <c r="I25" s="47">
        <f t="shared" si="2"/>
        <v>0</v>
      </c>
      <c r="J25" s="98" t="str">
        <f t="shared" si="3"/>
        <v>Not defined</v>
      </c>
      <c r="L25" s="131" t="s">
        <v>350</v>
      </c>
      <c r="M25" s="113"/>
      <c r="N25" s="113"/>
      <c r="O25" s="114"/>
    </row>
    <row r="26" spans="1:15">
      <c r="A26" s="215" t="s">
        <v>339</v>
      </c>
      <c r="B26" s="215">
        <f>ROW()</f>
        <v>26</v>
      </c>
      <c r="C26" s="220" t="s">
        <v>340</v>
      </c>
      <c r="D26" s="220" t="s">
        <v>351</v>
      </c>
      <c r="E26" s="54"/>
      <c r="F26" s="47">
        <f t="shared" si="1"/>
        <v>0</v>
      </c>
      <c r="G26" s="98" t="str">
        <f>IF(OR(NOT(ISNUMBER(F26)),F26=0),"Not defined",(E26/F26)-1)</f>
        <v>Not defined</v>
      </c>
      <c r="H26" s="54"/>
      <c r="I26" s="47">
        <f t="shared" si="2"/>
        <v>0</v>
      </c>
      <c r="J26" s="98" t="str">
        <f>IF(OR(NOT(ISNUMBER(I26)),I26=0),"Not defined",(H26/I26)-1)</f>
        <v>Not defined</v>
      </c>
      <c r="L26" s="132" t="b">
        <f>IF(ISNUMBER(N26),IF(AND(N26&gt;=0,N26&lt;=4),TRUE,FALSE))</f>
        <v>1</v>
      </c>
      <c r="M26" s="133" t="str">
        <f>IF(L26,"coincides with","does not coincide with a")</f>
        <v>coincides with</v>
      </c>
      <c r="N26" s="132">
        <f>YEAR(_dy_year_ended)-YEAR(_pp_starting_year)</f>
        <v>3</v>
      </c>
      <c r="O26" s="132">
        <f>N26+1</f>
        <v>4</v>
      </c>
    </row>
    <row r="27" spans="1:15">
      <c r="A27" s="215" t="s">
        <v>339</v>
      </c>
      <c r="B27" s="215">
        <f>ROW()</f>
        <v>27</v>
      </c>
      <c r="C27" s="219" t="s">
        <v>340</v>
      </c>
      <c r="D27" s="219" t="s">
        <v>293</v>
      </c>
      <c r="E27" s="47">
        <f>SUM(E17:E26)</f>
        <v>0</v>
      </c>
      <c r="F27" s="47">
        <f>SUM(F17:F26)</f>
        <v>0</v>
      </c>
      <c r="G27" s="98" t="str">
        <f>IF(F27=0,"Not defined",E27/F27-1)</f>
        <v>Not defined</v>
      </c>
      <c r="H27" s="47">
        <f>SUM(H17:H26)</f>
        <v>0</v>
      </c>
      <c r="I27" s="47">
        <f>SUM(I17:I26)</f>
        <v>0</v>
      </c>
      <c r="J27" s="98" t="str">
        <f>IF(I27=0,"Not defined",H27/I27-1)</f>
        <v>Not defined</v>
      </c>
    </row>
    <row r="28" spans="1:15">
      <c r="B28" s="45" t="str">
        <f>"* Disclosure year "&amp;$M$26&amp;" Pricing Period Starting Year " &amp; IF($M$26="coincides with",TEXT($N$26,"+ 0")&amp;".",".")</f>
        <v>* Disclosure year coincides with Pricing Period Starting Year + 3.</v>
      </c>
      <c r="E28" s="163"/>
      <c r="F28" s="163"/>
      <c r="G28" s="233"/>
      <c r="H28" s="163"/>
      <c r="I28" s="163"/>
      <c r="J28" s="233"/>
      <c r="K28" s="37"/>
    </row>
    <row r="29" spans="1:15">
      <c r="B29" s="45" t="s">
        <v>352</v>
      </c>
      <c r="E29" s="163"/>
      <c r="F29" s="163"/>
      <c r="G29" s="233"/>
      <c r="H29" s="163"/>
      <c r="I29" s="163"/>
      <c r="J29" s="233"/>
      <c r="K29" s="37"/>
    </row>
    <row r="32" spans="1:15" ht="21">
      <c r="B32" s="3" t="s">
        <v>353</v>
      </c>
      <c r="D32" s="15"/>
      <c r="E32" s="15"/>
    </row>
    <row r="33" spans="1:9">
      <c r="B33" s="96" t="s">
        <v>354</v>
      </c>
      <c r="D33" s="15"/>
      <c r="E33" s="15"/>
    </row>
    <row r="34" spans="1:9" ht="29">
      <c r="A34" s="221" t="s">
        <v>80</v>
      </c>
      <c r="B34" s="222" t="s">
        <v>81</v>
      </c>
      <c r="C34" s="5" t="s">
        <v>83</v>
      </c>
      <c r="D34" s="6" t="s">
        <v>151</v>
      </c>
      <c r="E34" s="5" t="s">
        <v>119</v>
      </c>
      <c r="F34" s="5" t="s">
        <v>120</v>
      </c>
      <c r="G34" s="5" t="s">
        <v>121</v>
      </c>
      <c r="H34" s="5" t="s">
        <v>122</v>
      </c>
      <c r="I34" s="5" t="s">
        <v>123</v>
      </c>
    </row>
    <row r="35" spans="1:9">
      <c r="A35" s="215" t="s">
        <v>353</v>
      </c>
      <c r="B35" s="215">
        <f>ROW()</f>
        <v>35</v>
      </c>
      <c r="C35" s="220" t="s">
        <v>355</v>
      </c>
      <c r="D35" s="220" t="s">
        <v>291</v>
      </c>
      <c r="E35" s="54"/>
      <c r="F35" s="54"/>
      <c r="G35" s="54"/>
      <c r="H35" s="54"/>
      <c r="I35" s="54"/>
    </row>
    <row r="36" spans="1:9">
      <c r="A36" s="215" t="s">
        <v>353</v>
      </c>
      <c r="B36" s="215">
        <f>ROW()</f>
        <v>36</v>
      </c>
      <c r="C36" s="220" t="s">
        <v>355</v>
      </c>
      <c r="D36" s="220" t="s">
        <v>292</v>
      </c>
      <c r="E36" s="54"/>
      <c r="F36" s="54"/>
      <c r="G36" s="54"/>
      <c r="H36" s="54"/>
      <c r="I36" s="54"/>
    </row>
    <row r="37" spans="1:9">
      <c r="A37" s="215" t="s">
        <v>353</v>
      </c>
      <c r="B37" s="215">
        <f>ROW()</f>
        <v>37</v>
      </c>
      <c r="C37" s="219" t="s">
        <v>355</v>
      </c>
      <c r="D37" s="219" t="s">
        <v>356</v>
      </c>
      <c r="E37" s="47">
        <f>SUM(E35:E36)</f>
        <v>0</v>
      </c>
      <c r="F37" s="47">
        <f>SUM(F35:F36)</f>
        <v>0</v>
      </c>
      <c r="G37" s="47">
        <f>SUM(G35:G36)</f>
        <v>0</v>
      </c>
      <c r="H37" s="47">
        <f>SUM(H35:H36)</f>
        <v>0</v>
      </c>
      <c r="I37" s="47">
        <f>SUM(I35:I36)</f>
        <v>0</v>
      </c>
    </row>
    <row r="38" spans="1:9">
      <c r="A38" s="215" t="s">
        <v>353</v>
      </c>
      <c r="B38" s="215">
        <f>ROW()</f>
        <v>38</v>
      </c>
      <c r="C38" s="220" t="s">
        <v>357</v>
      </c>
      <c r="D38" s="220" t="s">
        <v>166</v>
      </c>
      <c r="E38" s="54"/>
      <c r="F38" s="54"/>
      <c r="G38" s="54"/>
      <c r="H38" s="54"/>
      <c r="I38" s="54"/>
    </row>
    <row r="39" spans="1:9">
      <c r="A39" s="215" t="s">
        <v>353</v>
      </c>
      <c r="B39" s="215">
        <f>ROW()</f>
        <v>39</v>
      </c>
      <c r="C39" s="220" t="s">
        <v>357</v>
      </c>
      <c r="D39" s="220" t="s">
        <v>167</v>
      </c>
      <c r="E39" s="54"/>
      <c r="F39" s="54"/>
      <c r="G39" s="54"/>
      <c r="H39" s="54"/>
      <c r="I39" s="54"/>
    </row>
    <row r="40" spans="1:9">
      <c r="A40" s="215" t="s">
        <v>353</v>
      </c>
      <c r="B40" s="215">
        <f>ROW()</f>
        <v>40</v>
      </c>
      <c r="C40" s="220" t="s">
        <v>357</v>
      </c>
      <c r="D40" s="220" t="s">
        <v>168</v>
      </c>
      <c r="E40" s="54"/>
      <c r="F40" s="54"/>
      <c r="G40" s="54"/>
      <c r="H40" s="54"/>
      <c r="I40" s="54"/>
    </row>
    <row r="41" spans="1:9">
      <c r="A41" s="215" t="s">
        <v>353</v>
      </c>
      <c r="B41" s="215">
        <f>ROW()</f>
        <v>41</v>
      </c>
      <c r="C41" s="219" t="s">
        <v>357</v>
      </c>
      <c r="D41" s="219" t="s">
        <v>358</v>
      </c>
      <c r="E41" s="47">
        <f>SUM(E38:E40)</f>
        <v>0</v>
      </c>
      <c r="F41" s="47">
        <f t="shared" ref="F41:I41" si="5">SUM(F38:F40)</f>
        <v>0</v>
      </c>
      <c r="G41" s="47">
        <f t="shared" si="5"/>
        <v>0</v>
      </c>
      <c r="H41" s="47">
        <f t="shared" si="5"/>
        <v>0</v>
      </c>
      <c r="I41" s="47">
        <f t="shared" si="5"/>
        <v>0</v>
      </c>
    </row>
    <row r="43" spans="1:9" ht="21">
      <c r="B43" s="3" t="s">
        <v>359</v>
      </c>
    </row>
    <row r="44" spans="1:9" ht="29">
      <c r="A44" s="221" t="s">
        <v>80</v>
      </c>
      <c r="B44" s="222" t="s">
        <v>81</v>
      </c>
      <c r="C44" s="5" t="s">
        <v>83</v>
      </c>
      <c r="D44" s="6" t="s">
        <v>151</v>
      </c>
      <c r="E44" s="5" t="s">
        <v>119</v>
      </c>
      <c r="F44" s="5" t="s">
        <v>120</v>
      </c>
      <c r="G44" s="5" t="s">
        <v>121</v>
      </c>
      <c r="H44" s="5" t="s">
        <v>122</v>
      </c>
      <c r="I44" s="5" t="s">
        <v>123</v>
      </c>
    </row>
    <row r="45" spans="1:9">
      <c r="A45" s="215" t="s">
        <v>359</v>
      </c>
      <c r="B45" s="215">
        <f>ROW()</f>
        <v>45</v>
      </c>
      <c r="C45" s="220" t="s">
        <v>355</v>
      </c>
      <c r="D45" s="99" t="s">
        <v>341</v>
      </c>
      <c r="E45" s="54"/>
      <c r="F45" s="54"/>
      <c r="G45" s="54"/>
      <c r="H45" s="54"/>
      <c r="I45" s="54"/>
    </row>
    <row r="46" spans="1:9">
      <c r="A46" s="215" t="s">
        <v>359</v>
      </c>
      <c r="B46" s="215">
        <f>ROW()</f>
        <v>46</v>
      </c>
      <c r="C46" s="220" t="s">
        <v>355</v>
      </c>
      <c r="D46" s="100" t="s">
        <v>342</v>
      </c>
      <c r="E46" s="54"/>
      <c r="F46" s="54"/>
      <c r="G46" s="54"/>
      <c r="H46" s="54"/>
      <c r="I46" s="54"/>
    </row>
    <row r="47" spans="1:9">
      <c r="A47" s="215" t="s">
        <v>359</v>
      </c>
      <c r="B47" s="215">
        <f>ROW()</f>
        <v>47</v>
      </c>
      <c r="C47" s="220" t="s">
        <v>355</v>
      </c>
      <c r="D47" s="100" t="s">
        <v>343</v>
      </c>
      <c r="E47" s="54"/>
      <c r="F47" s="54"/>
      <c r="G47" s="54"/>
      <c r="H47" s="54"/>
      <c r="I47" s="54"/>
    </row>
    <row r="48" spans="1:9">
      <c r="A48" s="215" t="s">
        <v>359</v>
      </c>
      <c r="B48" s="215">
        <f>ROW()</f>
        <v>48</v>
      </c>
      <c r="C48" s="220" t="s">
        <v>355</v>
      </c>
      <c r="D48" s="100" t="s">
        <v>344</v>
      </c>
      <c r="E48" s="54"/>
      <c r="F48" s="54"/>
      <c r="G48" s="54"/>
      <c r="H48" s="54"/>
      <c r="I48" s="54"/>
    </row>
    <row r="49" spans="1:12">
      <c r="A49" s="215" t="s">
        <v>359</v>
      </c>
      <c r="B49" s="215">
        <f>ROW()</f>
        <v>49</v>
      </c>
      <c r="C49" s="220" t="s">
        <v>355</v>
      </c>
      <c r="D49" s="100" t="s">
        <v>345</v>
      </c>
      <c r="E49" s="54"/>
      <c r="F49" s="54"/>
      <c r="G49" s="54"/>
      <c r="H49" s="54"/>
      <c r="I49" s="54"/>
    </row>
    <row r="50" spans="1:12">
      <c r="A50" s="215" t="s">
        <v>359</v>
      </c>
      <c r="B50" s="215">
        <f>ROW()</f>
        <v>50</v>
      </c>
      <c r="C50" s="220" t="s">
        <v>355</v>
      </c>
      <c r="D50" s="100" t="s">
        <v>346</v>
      </c>
      <c r="E50" s="54"/>
      <c r="F50" s="54"/>
      <c r="G50" s="54"/>
      <c r="H50" s="54"/>
      <c r="I50" s="54"/>
    </row>
    <row r="51" spans="1:12">
      <c r="A51" s="215" t="s">
        <v>359</v>
      </c>
      <c r="B51" s="215">
        <f>ROW()</f>
        <v>51</v>
      </c>
      <c r="C51" s="220" t="s">
        <v>355</v>
      </c>
      <c r="D51" s="100" t="s">
        <v>347</v>
      </c>
      <c r="E51" s="54"/>
      <c r="F51" s="54"/>
      <c r="G51" s="54"/>
      <c r="H51" s="54"/>
      <c r="I51" s="54"/>
    </row>
    <row r="52" spans="1:12">
      <c r="A52" s="215" t="s">
        <v>359</v>
      </c>
      <c r="B52" s="215">
        <f>ROW()</f>
        <v>52</v>
      </c>
      <c r="C52" s="220" t="s">
        <v>355</v>
      </c>
      <c r="D52" s="100" t="s">
        <v>348</v>
      </c>
      <c r="E52" s="54"/>
      <c r="F52" s="54"/>
      <c r="G52" s="54"/>
      <c r="H52" s="54"/>
      <c r="I52" s="54"/>
    </row>
    <row r="53" spans="1:12">
      <c r="A53" s="215" t="s">
        <v>359</v>
      </c>
      <c r="B53" s="215">
        <f>ROW()</f>
        <v>53</v>
      </c>
      <c r="C53" s="220" t="s">
        <v>355</v>
      </c>
      <c r="D53" s="100" t="s">
        <v>349</v>
      </c>
      <c r="E53" s="54"/>
      <c r="F53" s="54"/>
      <c r="G53" s="54"/>
      <c r="H53" s="54"/>
      <c r="I53" s="54"/>
    </row>
    <row r="54" spans="1:12">
      <c r="A54" s="215" t="s">
        <v>359</v>
      </c>
      <c r="B54" s="215">
        <f>ROW()</f>
        <v>54</v>
      </c>
      <c r="C54" s="220" t="s">
        <v>355</v>
      </c>
      <c r="D54" s="220" t="s">
        <v>351</v>
      </c>
      <c r="E54" s="54"/>
      <c r="F54" s="54"/>
      <c r="G54" s="54"/>
      <c r="H54" s="54"/>
      <c r="I54" s="54"/>
    </row>
    <row r="55" spans="1:12">
      <c r="A55" s="215" t="s">
        <v>359</v>
      </c>
      <c r="B55" s="215">
        <f>ROW()</f>
        <v>55</v>
      </c>
      <c r="C55" s="219" t="s">
        <v>355</v>
      </c>
      <c r="D55" s="219" t="s">
        <v>356</v>
      </c>
      <c r="E55" s="47">
        <f>SUM(E45:E54)</f>
        <v>0</v>
      </c>
      <c r="F55" s="47">
        <f>SUM(F45:F54)</f>
        <v>0</v>
      </c>
      <c r="G55" s="47">
        <f>SUM(G45:G54)</f>
        <v>0</v>
      </c>
      <c r="H55" s="47">
        <f>SUM(H45:H54)</f>
        <v>0</v>
      </c>
      <c r="I55" s="47">
        <f>SUM(I45:I54)</f>
        <v>0</v>
      </c>
    </row>
    <row r="56" spans="1:12">
      <c r="B56" s="45" t="s">
        <v>360</v>
      </c>
      <c r="E56" s="163"/>
      <c r="F56" s="163"/>
      <c r="G56" s="163"/>
      <c r="H56" s="163"/>
      <c r="I56" s="163"/>
    </row>
    <row r="58" spans="1:12">
      <c r="C58" s="42"/>
      <c r="D58" s="42"/>
      <c r="E58" s="163"/>
      <c r="F58" s="163"/>
      <c r="G58" s="163"/>
      <c r="H58" s="163"/>
      <c r="I58" s="163"/>
    </row>
    <row r="59" spans="1:12" ht="21">
      <c r="B59" s="3" t="s">
        <v>361</v>
      </c>
      <c r="D59" s="15"/>
      <c r="E59" s="15"/>
    </row>
    <row r="60" spans="1:12" ht="58">
      <c r="A60" s="221" t="s">
        <v>80</v>
      </c>
      <c r="B60" s="222" t="s">
        <v>81</v>
      </c>
      <c r="C60" s="5" t="s">
        <v>83</v>
      </c>
      <c r="D60" s="40" t="s">
        <v>151</v>
      </c>
      <c r="E60" s="17" t="s">
        <v>362</v>
      </c>
      <c r="F60" s="17" t="s">
        <v>333</v>
      </c>
      <c r="G60" s="17" t="s">
        <v>334</v>
      </c>
      <c r="H60" s="17" t="s">
        <v>335</v>
      </c>
      <c r="I60" s="17" t="s">
        <v>336</v>
      </c>
      <c r="J60" s="17" t="s">
        <v>337</v>
      </c>
      <c r="K60" s="17" t="s">
        <v>363</v>
      </c>
      <c r="L60" s="17" t="s">
        <v>364</v>
      </c>
    </row>
    <row r="61" spans="1:12">
      <c r="A61" s="215" t="s">
        <v>361</v>
      </c>
      <c r="B61" s="215">
        <f>ROW()</f>
        <v>61</v>
      </c>
      <c r="C61" s="220" t="s">
        <v>365</v>
      </c>
      <c r="D61" s="100" t="s">
        <v>366</v>
      </c>
      <c r="E61" s="13"/>
      <c r="F61" s="54"/>
      <c r="G61" s="54"/>
      <c r="H61" s="98" t="str">
        <f>IF(OR(NOT(ISNUMBER(G61)),G61=0),"Not defined",(F61/G61)-1)</f>
        <v>Not defined</v>
      </c>
      <c r="I61" s="54"/>
      <c r="J61" s="54"/>
      <c r="K61" s="98" t="str">
        <f>IF(OR(NOT(ISNUMBER(I61)),J61=0),"Not defined",(I61/J61)-1)</f>
        <v>Not defined</v>
      </c>
      <c r="L61" s="54"/>
    </row>
    <row r="62" spans="1:12">
      <c r="A62" s="215" t="s">
        <v>361</v>
      </c>
      <c r="B62" s="215">
        <f>ROW()</f>
        <v>62</v>
      </c>
      <c r="C62" s="220" t="s">
        <v>365</v>
      </c>
      <c r="D62" s="100" t="s">
        <v>367</v>
      </c>
      <c r="E62" s="13"/>
      <c r="F62" s="54"/>
      <c r="G62" s="54"/>
      <c r="H62" s="98" t="str">
        <f t="shared" ref="H62:H66" si="6">IF(OR(NOT(ISNUMBER(G62)),G62=0),"Not defined",(F62/G62)-1)</f>
        <v>Not defined</v>
      </c>
      <c r="I62" s="54"/>
      <c r="J62" s="54"/>
      <c r="K62" s="98" t="str">
        <f t="shared" ref="K62:K66" si="7">IF(OR(NOT(ISNUMBER(I62)),J62=0),"Not defined",(I62/J62)-1)</f>
        <v>Not defined</v>
      </c>
      <c r="L62" s="54"/>
    </row>
    <row r="63" spans="1:12">
      <c r="A63" s="215" t="s">
        <v>361</v>
      </c>
      <c r="B63" s="215">
        <f>ROW()</f>
        <v>63</v>
      </c>
      <c r="C63" s="220" t="s">
        <v>365</v>
      </c>
      <c r="D63" s="100" t="s">
        <v>368</v>
      </c>
      <c r="E63" s="13"/>
      <c r="F63" s="54"/>
      <c r="G63" s="54"/>
      <c r="H63" s="98" t="str">
        <f t="shared" si="6"/>
        <v>Not defined</v>
      </c>
      <c r="I63" s="54"/>
      <c r="J63" s="54"/>
      <c r="K63" s="98" t="str">
        <f t="shared" si="7"/>
        <v>Not defined</v>
      </c>
      <c r="L63" s="54"/>
    </row>
    <row r="64" spans="1:12">
      <c r="A64" s="215" t="s">
        <v>361</v>
      </c>
      <c r="B64" s="215">
        <f>ROW()</f>
        <v>64</v>
      </c>
      <c r="C64" s="220" t="s">
        <v>365</v>
      </c>
      <c r="D64" s="100" t="s">
        <v>369</v>
      </c>
      <c r="E64" s="13"/>
      <c r="F64" s="54"/>
      <c r="G64" s="54"/>
      <c r="H64" s="98" t="str">
        <f t="shared" si="6"/>
        <v>Not defined</v>
      </c>
      <c r="I64" s="54"/>
      <c r="J64" s="54"/>
      <c r="K64" s="98" t="str">
        <f t="shared" si="7"/>
        <v>Not defined</v>
      </c>
      <c r="L64" s="54"/>
    </row>
    <row r="65" spans="1:12">
      <c r="A65" s="215" t="s">
        <v>361</v>
      </c>
      <c r="B65" s="215">
        <f>ROW()</f>
        <v>65</v>
      </c>
      <c r="C65" s="220" t="s">
        <v>365</v>
      </c>
      <c r="D65" s="100" t="s">
        <v>370</v>
      </c>
      <c r="E65" s="13"/>
      <c r="F65" s="54"/>
      <c r="G65" s="54"/>
      <c r="H65" s="98" t="str">
        <f t="shared" si="6"/>
        <v>Not defined</v>
      </c>
      <c r="I65" s="54"/>
      <c r="J65" s="54"/>
      <c r="K65" s="98" t="str">
        <f t="shared" si="7"/>
        <v>Not defined</v>
      </c>
      <c r="L65" s="54"/>
    </row>
    <row r="66" spans="1:12">
      <c r="A66" s="215" t="s">
        <v>361</v>
      </c>
      <c r="B66" s="215">
        <f>ROW()</f>
        <v>66</v>
      </c>
      <c r="C66" s="220" t="s">
        <v>365</v>
      </c>
      <c r="D66" s="100" t="s">
        <v>371</v>
      </c>
      <c r="E66" s="13"/>
      <c r="F66" s="54"/>
      <c r="G66" s="54"/>
      <c r="H66" s="98" t="str">
        <f t="shared" si="6"/>
        <v>Not defined</v>
      </c>
      <c r="I66" s="54"/>
      <c r="J66" s="54"/>
      <c r="K66" s="98" t="str">
        <f t="shared" si="7"/>
        <v>Not defined</v>
      </c>
      <c r="L66" s="54"/>
    </row>
    <row r="67" spans="1:12">
      <c r="A67" s="215" t="s">
        <v>361</v>
      </c>
      <c r="B67" s="215">
        <f>ROW()</f>
        <v>67</v>
      </c>
      <c r="C67" s="220" t="s">
        <v>365</v>
      </c>
      <c r="D67" s="100" t="s">
        <v>372</v>
      </c>
      <c r="E67" s="13"/>
      <c r="F67" s="54"/>
      <c r="G67" s="54"/>
      <c r="H67" s="98" t="str">
        <f>IF(OR(NOT(ISNUMBER(G67)),G67=0),"Not defined",(F67/G67)-1)</f>
        <v>Not defined</v>
      </c>
      <c r="I67" s="54"/>
      <c r="J67" s="54"/>
      <c r="K67" s="98" t="str">
        <f>IF(OR(NOT(ISNUMBER(I67)),J67=0),"Not defined",(I67/J67)-1)</f>
        <v>Not defined</v>
      </c>
      <c r="L67" s="54"/>
    </row>
    <row r="68" spans="1:12">
      <c r="A68" s="215" t="s">
        <v>361</v>
      </c>
      <c r="B68" s="215">
        <f>ROW()</f>
        <v>68</v>
      </c>
      <c r="C68" s="220" t="s">
        <v>365</v>
      </c>
      <c r="D68" s="100" t="s">
        <v>373</v>
      </c>
      <c r="E68" s="13"/>
      <c r="F68" s="54"/>
      <c r="G68" s="54"/>
      <c r="H68" s="98" t="str">
        <f t="shared" ref="H68:H69" si="8">IF(OR(NOT(ISNUMBER(G68)),G68=0),"Not defined",(F68/G68)-1)</f>
        <v>Not defined</v>
      </c>
      <c r="I68" s="54"/>
      <c r="J68" s="54"/>
      <c r="K68" s="98" t="str">
        <f t="shared" ref="K68:K69" si="9">IF(OR(NOT(ISNUMBER(I68)),J68=0),"Not defined",(I68/J68)-1)</f>
        <v>Not defined</v>
      </c>
      <c r="L68" s="54"/>
    </row>
    <row r="69" spans="1:12">
      <c r="A69" s="215" t="s">
        <v>361</v>
      </c>
      <c r="B69" s="215">
        <f>ROW()</f>
        <v>69</v>
      </c>
      <c r="C69" s="220" t="s">
        <v>365</v>
      </c>
      <c r="D69" s="100" t="s">
        <v>374</v>
      </c>
      <c r="E69" s="13"/>
      <c r="F69" s="54"/>
      <c r="G69" s="54"/>
      <c r="H69" s="98" t="str">
        <f t="shared" si="8"/>
        <v>Not defined</v>
      </c>
      <c r="I69" s="54"/>
      <c r="J69" s="54"/>
      <c r="K69" s="98" t="str">
        <f t="shared" si="9"/>
        <v>Not defined</v>
      </c>
      <c r="L69" s="54"/>
    </row>
    <row r="70" spans="1:12">
      <c r="A70" s="215" t="s">
        <v>361</v>
      </c>
      <c r="B70" s="215">
        <f>ROW()</f>
        <v>70</v>
      </c>
      <c r="C70" s="219" t="s">
        <v>365</v>
      </c>
      <c r="D70" s="219" t="s">
        <v>375</v>
      </c>
      <c r="E70" s="10"/>
      <c r="F70" s="10"/>
      <c r="G70" s="10"/>
      <c r="H70" s="10"/>
      <c r="I70" s="10"/>
      <c r="J70" s="10"/>
      <c r="K70" s="10"/>
      <c r="L70" s="101">
        <f>SUM(L61:L69)</f>
        <v>0</v>
      </c>
    </row>
    <row r="71" spans="1:12">
      <c r="B71" s="45" t="s">
        <v>376</v>
      </c>
      <c r="C71" s="45"/>
      <c r="D71" s="45"/>
      <c r="E71" s="45"/>
      <c r="F71" s="37"/>
      <c r="G71" s="37"/>
      <c r="H71" s="37"/>
      <c r="I71" s="37"/>
      <c r="J71" s="37"/>
      <c r="K71" s="37"/>
      <c r="L71" s="234"/>
    </row>
    <row r="72" spans="1:12">
      <c r="B72" s="45" t="s">
        <v>377</v>
      </c>
      <c r="C72" s="45"/>
      <c r="D72" s="45"/>
      <c r="E72" s="45"/>
      <c r="F72" s="37"/>
      <c r="G72" s="37"/>
      <c r="H72" s="37"/>
      <c r="I72" s="37"/>
      <c r="J72" s="37"/>
      <c r="K72" s="37"/>
      <c r="L72" s="234"/>
    </row>
    <row r="73" spans="1:12">
      <c r="B73" s="45" t="s">
        <v>378</v>
      </c>
      <c r="C73" s="45"/>
      <c r="D73" s="45"/>
      <c r="E73" s="45"/>
      <c r="F73" s="37"/>
      <c r="G73" s="37"/>
      <c r="H73" s="37"/>
      <c r="I73" s="37"/>
      <c r="J73" s="37"/>
      <c r="K73" s="37"/>
      <c r="L73" s="234"/>
    </row>
  </sheetData>
  <phoneticPr fontId="12" type="noConversion"/>
  <pageMargins left="0.25" right="0.25" top="0.75" bottom="0.75" header="0.3" footer="0.3"/>
  <pageSetup paperSize="9" scale="38" fitToHeight="0" orientation="portrait" r:id="rId1"/>
  <ignoredErrors>
    <ignoredError sqref="B56" calculatedColumn="1"/>
    <ignoredError sqref="G8:J12 G27" formula="1"/>
  </ignoredErrors>
  <tableParts count="5">
    <tablePart r:id="rId2"/>
    <tablePart r:id="rId3"/>
    <tablePart r:id="rId4"/>
    <tablePart r:id="rId5"/>
    <tablePart r:id="rId6"/>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B6489-3B00-4A0A-AB5D-75D98AACAF20}">
  <sheetPr>
    <pageSetUpPr fitToPage="1"/>
  </sheetPr>
  <dimension ref="A1:J22"/>
  <sheetViews>
    <sheetView showGridLines="0" view="pageBreakPreview" topLeftCell="B1" zoomScaleNormal="100" zoomScaleSheetLayoutView="100" workbookViewId="0">
      <selection activeCell="B19" sqref="B19"/>
    </sheetView>
  </sheetViews>
  <sheetFormatPr defaultRowHeight="14.5"/>
  <cols>
    <col min="1" max="1" width="15.1796875" hidden="1" customWidth="1"/>
    <col min="2" max="2" width="9.26953125" bestFit="1" customWidth="1"/>
    <col min="3" max="4" width="31.26953125" bestFit="1" customWidth="1"/>
    <col min="5" max="5" width="22.453125" customWidth="1"/>
    <col min="6" max="6" width="19.81640625" customWidth="1"/>
    <col min="7" max="7" width="18.453125" customWidth="1"/>
    <col min="9" max="9" width="12.453125" customWidth="1"/>
    <col min="10" max="10" width="12.7265625" customWidth="1"/>
    <col min="11" max="11" width="14.26953125" customWidth="1"/>
    <col min="12" max="12" width="16.7265625" customWidth="1"/>
  </cols>
  <sheetData>
    <row r="1" spans="1:10" ht="19.5">
      <c r="B1" s="291" t="str">
        <f>_company_name&amp;"    |     Pricing period starting year - "&amp;TEXT(_pp_starting_year,"dd mmmm yyyy")&amp;"    |     Disclosure year - "&amp;TEXT(_dy_year_ended,"yyyy")</f>
        <v>[select name of the airport]    |     Pricing period starting year - 30 June 2023    |     Disclosure year - 2026</v>
      </c>
    </row>
    <row r="3" spans="1:10" ht="23.5">
      <c r="B3" s="1" t="s">
        <v>379</v>
      </c>
      <c r="D3" s="15"/>
      <c r="E3" s="15"/>
      <c r="I3" s="104" t="s">
        <v>380</v>
      </c>
      <c r="J3" s="114"/>
    </row>
    <row r="4" spans="1:10" ht="39.5">
      <c r="A4" s="221" t="s">
        <v>80</v>
      </c>
      <c r="B4" s="222" t="s">
        <v>81</v>
      </c>
      <c r="C4" s="5" t="s">
        <v>83</v>
      </c>
      <c r="D4" s="17" t="s">
        <v>381</v>
      </c>
      <c r="E4" s="17" t="s">
        <v>382</v>
      </c>
      <c r="F4" s="17" t="s">
        <v>383</v>
      </c>
      <c r="G4" s="17" t="s">
        <v>384</v>
      </c>
      <c r="I4" s="188" t="s">
        <v>300</v>
      </c>
      <c r="J4" s="189" t="s">
        <v>301</v>
      </c>
    </row>
    <row r="5" spans="1:10">
      <c r="A5" s="215" t="s">
        <v>745</v>
      </c>
      <c r="B5" s="215">
        <f>ROW()</f>
        <v>5</v>
      </c>
      <c r="C5" s="9" t="str">
        <f>'S2.Regulatory Profit'!E6</f>
        <v>[Airport activity charge 1]</v>
      </c>
      <c r="D5" s="102"/>
      <c r="E5" s="102"/>
      <c r="F5" s="102"/>
      <c r="G5" s="47">
        <f>SUM(D5:F5)</f>
        <v>0</v>
      </c>
      <c r="I5" s="128">
        <f>'S2.Regulatory Profit'!F6</f>
        <v>0</v>
      </c>
      <c r="J5" s="129" t="b">
        <f>ROUND(G5,0)=ROUND(I5,0)</f>
        <v>1</v>
      </c>
    </row>
    <row r="6" spans="1:10">
      <c r="A6" s="215" t="s">
        <v>745</v>
      </c>
      <c r="B6" s="215">
        <f>ROW()</f>
        <v>6</v>
      </c>
      <c r="C6" s="9" t="str">
        <f>'S2.Regulatory Profit'!E7</f>
        <v>[Airport activity charge 2]</v>
      </c>
      <c r="D6" s="102"/>
      <c r="E6" s="102"/>
      <c r="F6" s="102"/>
      <c r="G6" s="47">
        <f t="shared" ref="G6:G20" si="0">SUM(D6:F6)</f>
        <v>0</v>
      </c>
      <c r="I6" s="128">
        <f>'S2.Regulatory Profit'!F7</f>
        <v>0</v>
      </c>
      <c r="J6" s="129" t="b">
        <f t="shared" ref="J6:J19" si="1">ROUND(G6,0)=ROUND(I6,0)</f>
        <v>1</v>
      </c>
    </row>
    <row r="7" spans="1:10">
      <c r="A7" s="215" t="s">
        <v>745</v>
      </c>
      <c r="B7" s="215">
        <f>ROW()</f>
        <v>7</v>
      </c>
      <c r="C7" s="9" t="str">
        <f>'S2.Regulatory Profit'!E8</f>
        <v>[Airport activity charge 3]</v>
      </c>
      <c r="D7" s="102"/>
      <c r="E7" s="102"/>
      <c r="F7" s="102"/>
      <c r="G7" s="47">
        <f t="shared" si="0"/>
        <v>0</v>
      </c>
      <c r="I7" s="128">
        <f>'S2.Regulatory Profit'!F8</f>
        <v>0</v>
      </c>
      <c r="J7" s="129" t="b">
        <f t="shared" si="1"/>
        <v>1</v>
      </c>
    </row>
    <row r="8" spans="1:10">
      <c r="A8" s="215" t="s">
        <v>745</v>
      </c>
      <c r="B8" s="215">
        <f>ROW()</f>
        <v>8</v>
      </c>
      <c r="C8" s="9" t="str">
        <f>'S2.Regulatory Profit'!E9</f>
        <v>[Airport activity charge 4]</v>
      </c>
      <c r="D8" s="102"/>
      <c r="E8" s="102"/>
      <c r="F8" s="102"/>
      <c r="G8" s="47">
        <f t="shared" si="0"/>
        <v>0</v>
      </c>
      <c r="I8" s="128">
        <f>'S2.Regulatory Profit'!F9</f>
        <v>0</v>
      </c>
      <c r="J8" s="129" t="b">
        <f t="shared" si="1"/>
        <v>1</v>
      </c>
    </row>
    <row r="9" spans="1:10">
      <c r="A9" s="215" t="s">
        <v>745</v>
      </c>
      <c r="B9" s="215">
        <f>ROW()</f>
        <v>9</v>
      </c>
      <c r="C9" s="220" t="s">
        <v>160</v>
      </c>
      <c r="D9" s="102"/>
      <c r="E9" s="102"/>
      <c r="F9" s="102"/>
      <c r="G9" s="47">
        <f t="shared" si="0"/>
        <v>0</v>
      </c>
      <c r="I9" s="128">
        <f>'S2.Regulatory Profit'!F10</f>
        <v>0</v>
      </c>
      <c r="J9" s="129" t="b">
        <f t="shared" si="1"/>
        <v>1</v>
      </c>
    </row>
    <row r="10" spans="1:10" ht="15" thickBot="1">
      <c r="A10" s="215" t="s">
        <v>745</v>
      </c>
      <c r="B10" s="215">
        <f>ROW()</f>
        <v>10</v>
      </c>
      <c r="C10" s="220" t="s">
        <v>161</v>
      </c>
      <c r="D10" s="102"/>
      <c r="E10" s="102"/>
      <c r="F10" s="102"/>
      <c r="G10" s="47">
        <f t="shared" si="0"/>
        <v>0</v>
      </c>
      <c r="I10" s="128">
        <f>'S2.Regulatory Profit'!F11</f>
        <v>0</v>
      </c>
      <c r="J10" s="129" t="b">
        <f t="shared" si="1"/>
        <v>1</v>
      </c>
    </row>
    <row r="11" spans="1:10" ht="15" thickBot="1">
      <c r="A11" s="215" t="s">
        <v>745</v>
      </c>
      <c r="B11" s="215">
        <f>ROW()</f>
        <v>11</v>
      </c>
      <c r="C11" s="219" t="s">
        <v>162</v>
      </c>
      <c r="D11" s="160">
        <f>SUM(D5:D10)</f>
        <v>0</v>
      </c>
      <c r="E11" s="160">
        <f t="shared" ref="E11:F11" si="2">SUM(E5:E10)</f>
        <v>0</v>
      </c>
      <c r="F11" s="160">
        <f t="shared" si="2"/>
        <v>0</v>
      </c>
      <c r="G11" s="156">
        <f t="shared" si="0"/>
        <v>0</v>
      </c>
      <c r="I11" s="128">
        <f>'S2.Regulatory Profit'!F12</f>
        <v>0</v>
      </c>
      <c r="J11" s="129" t="b">
        <f t="shared" si="1"/>
        <v>1</v>
      </c>
    </row>
    <row r="12" spans="1:10">
      <c r="A12" s="215" t="s">
        <v>745</v>
      </c>
      <c r="B12" s="215">
        <f>ROW()</f>
        <v>12</v>
      </c>
      <c r="C12" s="220" t="s">
        <v>386</v>
      </c>
      <c r="D12" s="102"/>
      <c r="E12" s="102"/>
      <c r="F12" s="102"/>
      <c r="G12" s="47">
        <f t="shared" si="0"/>
        <v>0</v>
      </c>
      <c r="I12" s="128">
        <f>'S2.Regulatory Profit'!F13</f>
        <v>0</v>
      </c>
      <c r="J12" s="129" t="b">
        <f t="shared" si="1"/>
        <v>1</v>
      </c>
    </row>
    <row r="13" spans="1:10" ht="15" thickBot="1">
      <c r="A13" s="215" t="s">
        <v>745</v>
      </c>
      <c r="B13" s="215">
        <f>ROW()</f>
        <v>13</v>
      </c>
      <c r="C13" s="220" t="s">
        <v>164</v>
      </c>
      <c r="D13" s="102"/>
      <c r="E13" s="102"/>
      <c r="F13" s="102"/>
      <c r="G13" s="47">
        <f t="shared" si="0"/>
        <v>0</v>
      </c>
      <c r="I13" s="128">
        <f>'S2.Regulatory Profit'!F14</f>
        <v>0</v>
      </c>
      <c r="J13" s="129" t="b">
        <f t="shared" si="1"/>
        <v>1</v>
      </c>
    </row>
    <row r="14" spans="1:10" ht="15" thickBot="1">
      <c r="A14" s="215" t="s">
        <v>745</v>
      </c>
      <c r="B14" s="215">
        <f>ROW()</f>
        <v>14</v>
      </c>
      <c r="C14" s="219" t="s">
        <v>101</v>
      </c>
      <c r="D14" s="160">
        <f>SUM(D11:D13)</f>
        <v>0</v>
      </c>
      <c r="E14" s="160">
        <f t="shared" ref="E14" si="3">SUM(E11:E13)</f>
        <v>0</v>
      </c>
      <c r="F14" s="160">
        <f>SUM(F11:F13)</f>
        <v>0</v>
      </c>
      <c r="G14" s="156">
        <f>SUM(D14:F14)</f>
        <v>0</v>
      </c>
      <c r="I14" s="128">
        <f>'S2.Regulatory Profit'!F15</f>
        <v>0</v>
      </c>
      <c r="J14" s="129" t="b">
        <f t="shared" si="1"/>
        <v>1</v>
      </c>
    </row>
    <row r="15" spans="1:10">
      <c r="A15" s="215" t="s">
        <v>745</v>
      </c>
      <c r="B15" s="215">
        <f>ROW()</f>
        <v>15</v>
      </c>
      <c r="C15" s="220" t="s">
        <v>169</v>
      </c>
      <c r="D15" s="102"/>
      <c r="E15" s="102"/>
      <c r="F15" s="102"/>
      <c r="G15" s="47">
        <f t="shared" si="0"/>
        <v>0</v>
      </c>
      <c r="I15" s="128">
        <f>'S2.Regulatory Profit'!F19</f>
        <v>0</v>
      </c>
      <c r="J15" s="129" t="b">
        <f t="shared" si="1"/>
        <v>1</v>
      </c>
    </row>
    <row r="16" spans="1:10">
      <c r="A16" s="215" t="s">
        <v>745</v>
      </c>
      <c r="B16" s="215">
        <f>ROW()</f>
        <v>16</v>
      </c>
      <c r="C16" s="220" t="s">
        <v>171</v>
      </c>
      <c r="D16" s="102"/>
      <c r="E16" s="102"/>
      <c r="F16" s="102"/>
      <c r="G16" s="47">
        <f t="shared" si="0"/>
        <v>0</v>
      </c>
      <c r="I16" s="128">
        <f>'S2.Regulatory Profit'!F21</f>
        <v>0</v>
      </c>
      <c r="J16" s="129" t="b">
        <f t="shared" si="1"/>
        <v>1</v>
      </c>
    </row>
    <row r="17" spans="1:10">
      <c r="A17" s="215" t="s">
        <v>745</v>
      </c>
      <c r="B17" s="215">
        <f>ROW()</f>
        <v>17</v>
      </c>
      <c r="C17" s="220" t="s">
        <v>174</v>
      </c>
      <c r="D17" s="102"/>
      <c r="E17" s="102"/>
      <c r="F17" s="102"/>
      <c r="G17" s="47">
        <f t="shared" si="0"/>
        <v>0</v>
      </c>
      <c r="I17" s="128">
        <f>'S2.Regulatory Profit'!F24</f>
        <v>0</v>
      </c>
      <c r="J17" s="129" t="b">
        <f t="shared" si="1"/>
        <v>1</v>
      </c>
    </row>
    <row r="18" spans="1:10" ht="15" thickBot="1">
      <c r="A18" s="215" t="s">
        <v>745</v>
      </c>
      <c r="B18" s="215">
        <f>ROW()</f>
        <v>18</v>
      </c>
      <c r="C18" s="220" t="s">
        <v>176</v>
      </c>
      <c r="D18" s="102"/>
      <c r="E18" s="102"/>
      <c r="F18" s="102"/>
      <c r="G18" s="47">
        <f t="shared" si="0"/>
        <v>0</v>
      </c>
      <c r="I18" s="128">
        <f>'S2.Regulatory Profit'!F26</f>
        <v>0</v>
      </c>
      <c r="J18" s="129" t="b">
        <f t="shared" si="1"/>
        <v>1</v>
      </c>
    </row>
    <row r="19" spans="1:10" ht="15" thickBot="1">
      <c r="A19" s="215" t="s">
        <v>745</v>
      </c>
      <c r="B19" s="215">
        <f>ROW()</f>
        <v>19</v>
      </c>
      <c r="C19" s="219" t="s">
        <v>387</v>
      </c>
      <c r="D19" s="160">
        <f>D14-D15-D16+D17-D18</f>
        <v>0</v>
      </c>
      <c r="E19" s="160">
        <f t="shared" ref="E19:F19" si="4">E14-E15-E16+E17-E18</f>
        <v>0</v>
      </c>
      <c r="F19" s="160">
        <f t="shared" si="4"/>
        <v>0</v>
      </c>
      <c r="G19" s="156">
        <f t="shared" si="0"/>
        <v>0</v>
      </c>
      <c r="I19" s="128">
        <f>'S2.Regulatory Profit'!F27</f>
        <v>0</v>
      </c>
      <c r="J19" s="129" t="b">
        <f t="shared" si="1"/>
        <v>1</v>
      </c>
    </row>
    <row r="20" spans="1:10">
      <c r="A20" s="215" t="s">
        <v>745</v>
      </c>
      <c r="B20" s="227">
        <f>ROW()</f>
        <v>20</v>
      </c>
      <c r="C20" s="220" t="s">
        <v>107</v>
      </c>
      <c r="D20" s="102"/>
      <c r="E20" s="102"/>
      <c r="F20" s="102"/>
      <c r="G20" s="47">
        <f t="shared" si="0"/>
        <v>0</v>
      </c>
      <c r="I20" s="126">
        <f>'S4.RAB Roll-Forward'!E13</f>
        <v>0</v>
      </c>
      <c r="J20" s="130" t="b">
        <f>ROUND(G20,0)=ROUND(I20,0)</f>
        <v>1</v>
      </c>
    </row>
    <row r="21" spans="1:10">
      <c r="A21" s="238"/>
      <c r="B21" s="238" t="s">
        <v>388</v>
      </c>
      <c r="C21" s="236"/>
      <c r="D21" s="235"/>
      <c r="E21" s="235"/>
      <c r="F21" s="235"/>
      <c r="G21" s="226"/>
    </row>
    <row r="22" spans="1:10">
      <c r="A22" s="238"/>
      <c r="B22" s="238" t="s">
        <v>389</v>
      </c>
      <c r="C22" s="236"/>
      <c r="D22" s="237"/>
      <c r="E22" s="237"/>
      <c r="F22" s="237"/>
      <c r="G22" s="229"/>
    </row>
  </sheetData>
  <pageMargins left="0.25" right="0.25" top="0.75" bottom="0.75" header="0.3" footer="0.3"/>
  <pageSetup paperSize="9" scale="74" fitToHeight="0"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B1141-BB09-4DB2-A041-6AEF55E61B5A}">
  <sheetPr>
    <pageSetUpPr fitToPage="1"/>
  </sheetPr>
  <dimension ref="A1:H27"/>
  <sheetViews>
    <sheetView showGridLines="0" view="pageBreakPreview" topLeftCell="B1" zoomScaleNormal="100" zoomScaleSheetLayoutView="100" workbookViewId="0">
      <selection activeCell="B19" sqref="B19"/>
    </sheetView>
  </sheetViews>
  <sheetFormatPr defaultRowHeight="14.5"/>
  <cols>
    <col min="1" max="1" width="31.453125" hidden="1" customWidth="1"/>
    <col min="2" max="2" width="9.26953125" bestFit="1" customWidth="1"/>
    <col min="3" max="3" width="67.81640625" customWidth="1"/>
    <col min="4" max="4" width="21" bestFit="1" customWidth="1"/>
    <col min="5" max="5" width="16.453125" customWidth="1"/>
    <col min="6" max="6" width="13.54296875" bestFit="1" customWidth="1"/>
    <col min="7" max="7" width="13.26953125" bestFit="1" customWidth="1"/>
    <col min="8" max="8" width="12.54296875" bestFit="1" customWidth="1"/>
  </cols>
  <sheetData>
    <row r="1" spans="1:8" ht="22">
      <c r="B1" s="292" t="str">
        <f>_company_name&amp;"    |     Pricing period starting year - "&amp;TEXT(_pp_starting_year,"dd mmmm yyyy")&amp;"    |     Disclosure year - "&amp;TEXT(_dy_year_ended,"yyyy")</f>
        <v>[select name of the airport]    |     Pricing period starting year - 30 June 2023    |     Disclosure year - 2026</v>
      </c>
    </row>
    <row r="3" spans="1:8" ht="23.5">
      <c r="B3" s="1" t="s">
        <v>390</v>
      </c>
      <c r="D3" s="15"/>
      <c r="E3" s="15"/>
    </row>
    <row r="4" spans="1:8" ht="21">
      <c r="B4" s="3" t="s">
        <v>391</v>
      </c>
      <c r="D4" s="15"/>
      <c r="E4" s="15"/>
    </row>
    <row r="5" spans="1:8" ht="58">
      <c r="A5" s="221" t="s">
        <v>80</v>
      </c>
      <c r="B5" s="222" t="s">
        <v>81</v>
      </c>
      <c r="C5" s="5" t="s">
        <v>83</v>
      </c>
      <c r="D5" s="17" t="s">
        <v>392</v>
      </c>
      <c r="E5" s="17" t="s">
        <v>393</v>
      </c>
      <c r="F5" s="17" t="s">
        <v>394</v>
      </c>
      <c r="G5" s="17" t="s">
        <v>395</v>
      </c>
      <c r="H5" s="17" t="s">
        <v>396</v>
      </c>
    </row>
    <row r="6" spans="1:8">
      <c r="A6" s="215" t="s">
        <v>391</v>
      </c>
      <c r="B6" s="215">
        <f>ROW()</f>
        <v>6</v>
      </c>
      <c r="C6" s="220" t="s">
        <v>397</v>
      </c>
      <c r="D6" s="47">
        <f>'S2.Regulatory Profit'!F15</f>
        <v>0</v>
      </c>
      <c r="E6" s="102"/>
      <c r="F6" s="102"/>
      <c r="G6" s="102"/>
      <c r="H6" s="102"/>
    </row>
    <row r="7" spans="1:8">
      <c r="A7" s="215" t="s">
        <v>391</v>
      </c>
      <c r="B7" s="215">
        <f>ROW()</f>
        <v>7</v>
      </c>
      <c r="C7" s="220" t="s">
        <v>169</v>
      </c>
      <c r="D7" s="47">
        <f>'S2.Regulatory Profit'!F19</f>
        <v>0</v>
      </c>
      <c r="E7" s="102"/>
      <c r="F7" s="102"/>
      <c r="G7" s="102"/>
      <c r="H7" s="102"/>
    </row>
    <row r="8" spans="1:8">
      <c r="A8" s="215" t="s">
        <v>391</v>
      </c>
      <c r="B8" s="215">
        <f>ROW()</f>
        <v>8</v>
      </c>
      <c r="C8" s="219" t="s">
        <v>398</v>
      </c>
      <c r="D8" s="47">
        <f>D6-D7</f>
        <v>0</v>
      </c>
      <c r="E8" s="47">
        <f t="shared" ref="E8:H8" si="0">E6-E7</f>
        <v>0</v>
      </c>
      <c r="F8" s="47">
        <f t="shared" si="0"/>
        <v>0</v>
      </c>
      <c r="G8" s="47">
        <f t="shared" si="0"/>
        <v>0</v>
      </c>
      <c r="H8" s="47">
        <f t="shared" si="0"/>
        <v>0</v>
      </c>
    </row>
    <row r="9" spans="1:8">
      <c r="A9" s="215" t="s">
        <v>391</v>
      </c>
      <c r="B9" s="215">
        <f>ROW()</f>
        <v>9</v>
      </c>
      <c r="C9" s="220" t="s">
        <v>399</v>
      </c>
      <c r="D9" s="47">
        <f>'S2.Regulatory Profit'!F21</f>
        <v>0</v>
      </c>
      <c r="E9" s="102"/>
      <c r="F9" s="102"/>
      <c r="G9" s="102"/>
      <c r="H9" s="102"/>
    </row>
    <row r="10" spans="1:8">
      <c r="A10" s="215" t="s">
        <v>391</v>
      </c>
      <c r="B10" s="215">
        <f>ROW()</f>
        <v>10</v>
      </c>
      <c r="C10" s="220" t="s">
        <v>400</v>
      </c>
      <c r="D10" s="47">
        <f>'S2.Regulatory Profit'!F24</f>
        <v>0</v>
      </c>
      <c r="E10" s="102"/>
      <c r="F10" s="102"/>
      <c r="G10" s="102"/>
      <c r="H10" s="102"/>
    </row>
    <row r="11" spans="1:8">
      <c r="A11" s="215" t="s">
        <v>391</v>
      </c>
      <c r="B11" s="215">
        <f>ROW()</f>
        <v>11</v>
      </c>
      <c r="C11" s="220" t="s">
        <v>401</v>
      </c>
      <c r="D11" s="47">
        <f>'S2.Regulatory Profit'!F26</f>
        <v>0</v>
      </c>
      <c r="E11" s="102"/>
      <c r="F11" s="102"/>
      <c r="G11" s="102"/>
      <c r="H11" s="102"/>
    </row>
    <row r="12" spans="1:8">
      <c r="A12" s="215" t="s">
        <v>391</v>
      </c>
      <c r="B12" s="215">
        <f>ROW()</f>
        <v>12</v>
      </c>
      <c r="C12" s="219" t="s">
        <v>402</v>
      </c>
      <c r="D12" s="47">
        <f>D8-D9+D10-D11</f>
        <v>0</v>
      </c>
      <c r="E12" s="47">
        <f t="shared" ref="E12:H12" si="1">E8-E9+E10-E11</f>
        <v>0</v>
      </c>
      <c r="F12" s="47">
        <f t="shared" si="1"/>
        <v>0</v>
      </c>
      <c r="G12" s="47">
        <f t="shared" si="1"/>
        <v>0</v>
      </c>
      <c r="H12" s="47">
        <f t="shared" si="1"/>
        <v>0</v>
      </c>
    </row>
    <row r="13" spans="1:8">
      <c r="A13" s="215" t="s">
        <v>391</v>
      </c>
      <c r="B13" s="215">
        <f>ROW()</f>
        <v>13</v>
      </c>
      <c r="C13" s="220" t="s">
        <v>403</v>
      </c>
      <c r="D13" s="47">
        <f>'S4.RAB Roll-Forward'!F33</f>
        <v>0</v>
      </c>
      <c r="E13" s="102"/>
      <c r="F13" s="102"/>
      <c r="G13" s="102"/>
      <c r="H13" s="102"/>
    </row>
    <row r="16" spans="1:8" ht="21">
      <c r="B16" s="3" t="s">
        <v>404</v>
      </c>
    </row>
    <row r="17" spans="1:5" ht="21">
      <c r="B17" s="3" t="s">
        <v>405</v>
      </c>
      <c r="D17" s="15"/>
      <c r="E17" s="15"/>
    </row>
    <row r="18" spans="1:5" ht="43.5">
      <c r="A18" s="221" t="s">
        <v>80</v>
      </c>
      <c r="B18" s="222" t="s">
        <v>81</v>
      </c>
      <c r="C18" s="5" t="s">
        <v>406</v>
      </c>
      <c r="D18" s="17" t="s">
        <v>407</v>
      </c>
      <c r="E18" s="17" t="s">
        <v>408</v>
      </c>
    </row>
    <row r="19" spans="1:5">
      <c r="A19" s="215" t="s">
        <v>405</v>
      </c>
      <c r="B19" s="215">
        <f>ROW()</f>
        <v>19</v>
      </c>
      <c r="C19" s="103"/>
      <c r="D19" s="103" t="s">
        <v>409</v>
      </c>
      <c r="E19" s="102"/>
    </row>
    <row r="20" spans="1:5">
      <c r="A20" s="215" t="s">
        <v>405</v>
      </c>
      <c r="B20" s="215">
        <f>ROW()</f>
        <v>20</v>
      </c>
      <c r="C20" s="103"/>
      <c r="D20" s="103" t="s">
        <v>409</v>
      </c>
      <c r="E20" s="102"/>
    </row>
    <row r="21" spans="1:5">
      <c r="A21" s="215" t="s">
        <v>405</v>
      </c>
      <c r="B21" s="215">
        <f>ROW()</f>
        <v>21</v>
      </c>
      <c r="C21" s="103"/>
      <c r="D21" s="103" t="s">
        <v>409</v>
      </c>
      <c r="E21" s="102"/>
    </row>
    <row r="22" spans="1:5">
      <c r="A22" s="215" t="s">
        <v>405</v>
      </c>
      <c r="B22" s="215">
        <f>ROW()</f>
        <v>22</v>
      </c>
      <c r="C22" s="103"/>
      <c r="D22" s="103" t="s">
        <v>409</v>
      </c>
      <c r="E22" s="102"/>
    </row>
    <row r="23" spans="1:5">
      <c r="A23" s="215" t="s">
        <v>405</v>
      </c>
      <c r="B23" s="215">
        <f>ROW()</f>
        <v>23</v>
      </c>
      <c r="C23" s="103"/>
      <c r="D23" s="103" t="s">
        <v>409</v>
      </c>
      <c r="E23" s="102"/>
    </row>
    <row r="24" spans="1:5">
      <c r="A24" s="215" t="s">
        <v>405</v>
      </c>
      <c r="B24" s="215">
        <f>ROW()</f>
        <v>24</v>
      </c>
      <c r="C24" s="103"/>
      <c r="D24" s="103" t="s">
        <v>409</v>
      </c>
      <c r="E24" s="102"/>
    </row>
    <row r="25" spans="1:5">
      <c r="A25" s="215" t="s">
        <v>405</v>
      </c>
      <c r="B25" s="215">
        <f>ROW()</f>
        <v>25</v>
      </c>
      <c r="C25" s="103"/>
      <c r="D25" s="103" t="s">
        <v>409</v>
      </c>
      <c r="E25" s="102"/>
    </row>
    <row r="26" spans="1:5">
      <c r="B26" s="239" t="s">
        <v>410</v>
      </c>
      <c r="C26" s="240"/>
      <c r="D26" s="240"/>
      <c r="E26" s="241"/>
    </row>
    <row r="27" spans="1:5" s="16" customFormat="1">
      <c r="B27" s="239" t="s">
        <v>411</v>
      </c>
      <c r="C27" s="242"/>
      <c r="D27" s="242"/>
      <c r="E27" s="243"/>
    </row>
  </sheetData>
  <dataValidations count="1">
    <dataValidation type="list" allowBlank="1" showInputMessage="1" showErrorMessage="1" sqref="D19:D25" xr:uid="{30C6EDCA-55EB-4652-8AD7-49BC38935F8A}">
      <formula1>"[Select one],Net income, Total operational expenditure, Depreciation, Revaluations, Tax expense, Property plant &amp; equipment"</formula1>
    </dataValidation>
  </dataValidations>
  <pageMargins left="0.25" right="0.25" top="0.75" bottom="0.75" header="0.3" footer="0.3"/>
  <pageSetup paperSize="9" scale="64" fitToHeight="0" orientation="portrait" r:id="rId1"/>
  <tableParts count="2">
    <tablePart r:id="rId2"/>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2B22D-5693-4163-A393-52EA13D649B6}">
  <sheetPr>
    <pageSetUpPr fitToPage="1"/>
  </sheetPr>
  <dimension ref="A1:J147"/>
  <sheetViews>
    <sheetView showGridLines="0" view="pageBreakPreview" topLeftCell="B1" zoomScaleNormal="100" zoomScaleSheetLayoutView="100" workbookViewId="0">
      <selection activeCell="B19" sqref="B19"/>
    </sheetView>
  </sheetViews>
  <sheetFormatPr defaultRowHeight="14.5"/>
  <cols>
    <col min="1" max="1" width="33.7265625" hidden="1" customWidth="1"/>
    <col min="3" max="3" width="28.26953125" bestFit="1" customWidth="1"/>
    <col min="4" max="5" width="26.26953125" bestFit="1" customWidth="1"/>
    <col min="6" max="6" width="13" customWidth="1"/>
    <col min="7" max="7" width="13" bestFit="1" customWidth="1"/>
    <col min="8" max="8" width="11.7265625" customWidth="1"/>
    <col min="9" max="9" width="13.26953125" bestFit="1" customWidth="1"/>
    <col min="10" max="10" width="10.7265625" bestFit="1" customWidth="1"/>
  </cols>
  <sheetData>
    <row r="1" spans="1:10" ht="21">
      <c r="B1" s="224" t="str">
        <f>_company_name&amp;"    |     Pricing period starting year - "&amp;TEXT(_pp_starting_year,"dd mmmm yyyy")&amp;"    |     Disclosure year - "&amp;TEXT(_dy_year_ended,"yyyy")</f>
        <v>[select name of the airport]    |     Pricing period starting year - 30 June 2023    |     Disclosure year - 2026</v>
      </c>
    </row>
    <row r="2" spans="1:10" ht="19.899999999999999" customHeight="1">
      <c r="B2" s="53"/>
    </row>
    <row r="3" spans="1:10" ht="23.5">
      <c r="B3" s="1" t="s">
        <v>412</v>
      </c>
      <c r="D3" s="15"/>
      <c r="E3" s="15"/>
    </row>
    <row r="4" spans="1:10" ht="21">
      <c r="B4" s="3" t="s">
        <v>413</v>
      </c>
      <c r="D4" s="15"/>
      <c r="E4" s="15"/>
    </row>
    <row r="5" spans="1:10" ht="43.5">
      <c r="A5" s="221" t="s">
        <v>80</v>
      </c>
      <c r="B5" s="222" t="s">
        <v>81</v>
      </c>
      <c r="C5" s="5" t="s">
        <v>83</v>
      </c>
      <c r="D5" s="6" t="s">
        <v>151</v>
      </c>
      <c r="E5" s="17" t="s">
        <v>414</v>
      </c>
      <c r="F5" s="17" t="s">
        <v>382</v>
      </c>
      <c r="G5" s="17" t="s">
        <v>383</v>
      </c>
      <c r="H5" s="17" t="s">
        <v>415</v>
      </c>
      <c r="I5" s="17" t="s">
        <v>416</v>
      </c>
      <c r="J5" s="17" t="s">
        <v>417</v>
      </c>
    </row>
    <row r="6" spans="1:10">
      <c r="A6" s="215" t="s">
        <v>413</v>
      </c>
      <c r="B6" s="215">
        <f>ROW()</f>
        <v>6</v>
      </c>
      <c r="C6" s="220" t="s">
        <v>296</v>
      </c>
      <c r="D6" s="220" t="s">
        <v>418</v>
      </c>
      <c r="E6" s="54"/>
      <c r="F6" s="54"/>
      <c r="G6" s="54"/>
      <c r="H6" s="47">
        <f>SUM(E6:G6)</f>
        <v>0</v>
      </c>
      <c r="I6" s="39"/>
      <c r="J6" s="47">
        <f>H6</f>
        <v>0</v>
      </c>
    </row>
    <row r="7" spans="1:10">
      <c r="A7" s="215" t="s">
        <v>413</v>
      </c>
      <c r="B7" s="215">
        <f>ROW()</f>
        <v>7</v>
      </c>
      <c r="C7" s="220" t="s">
        <v>296</v>
      </c>
      <c r="D7" s="220" t="s">
        <v>419</v>
      </c>
      <c r="E7" s="54"/>
      <c r="F7" s="54"/>
      <c r="G7" s="54"/>
      <c r="H7" s="47">
        <f>SUM(E7:G7)</f>
        <v>0</v>
      </c>
      <c r="I7" s="54"/>
      <c r="J7" s="47">
        <f>SUM(H7:I7)</f>
        <v>0</v>
      </c>
    </row>
    <row r="8" spans="1:10">
      <c r="A8" s="215" t="s">
        <v>413</v>
      </c>
      <c r="B8" s="215">
        <f>ROW()</f>
        <v>8</v>
      </c>
      <c r="C8" s="219" t="s">
        <v>296</v>
      </c>
      <c r="D8" s="219" t="s">
        <v>420</v>
      </c>
      <c r="E8" s="39"/>
      <c r="F8" s="39"/>
      <c r="G8" s="39"/>
      <c r="H8" s="47">
        <f>SUM(H6:H7)</f>
        <v>0</v>
      </c>
      <c r="I8" s="39"/>
      <c r="J8" s="39"/>
    </row>
    <row r="9" spans="1:10">
      <c r="A9" s="215" t="s">
        <v>413</v>
      </c>
      <c r="B9" s="215">
        <f>ROW()</f>
        <v>9</v>
      </c>
      <c r="C9" s="220" t="s">
        <v>276</v>
      </c>
      <c r="D9" s="220" t="s">
        <v>418</v>
      </c>
      <c r="E9" s="54"/>
      <c r="F9" s="54"/>
      <c r="G9" s="54"/>
      <c r="H9" s="47">
        <f>SUM(E9:G9)</f>
        <v>0</v>
      </c>
      <c r="I9" s="39"/>
      <c r="J9" s="47">
        <f>H9</f>
        <v>0</v>
      </c>
    </row>
    <row r="10" spans="1:10">
      <c r="A10" s="215" t="s">
        <v>413</v>
      </c>
      <c r="B10" s="215">
        <f>ROW()</f>
        <v>10</v>
      </c>
      <c r="C10" s="220" t="s">
        <v>276</v>
      </c>
      <c r="D10" s="220" t="s">
        <v>419</v>
      </c>
      <c r="E10" s="54"/>
      <c r="F10" s="54"/>
      <c r="G10" s="54"/>
      <c r="H10" s="47">
        <f>SUM(E10:G10)</f>
        <v>0</v>
      </c>
      <c r="I10" s="54"/>
      <c r="J10" s="47">
        <f>SUM(H10:I10)</f>
        <v>0</v>
      </c>
    </row>
    <row r="11" spans="1:10">
      <c r="A11" s="215" t="s">
        <v>413</v>
      </c>
      <c r="B11" s="215">
        <f>ROW()</f>
        <v>11</v>
      </c>
      <c r="C11" s="219" t="s">
        <v>276</v>
      </c>
      <c r="D11" s="219" t="s">
        <v>420</v>
      </c>
      <c r="E11" s="39"/>
      <c r="F11" s="39"/>
      <c r="G11" s="39"/>
      <c r="H11" s="47">
        <f>SUM(H9:H10)</f>
        <v>0</v>
      </c>
      <c r="I11" s="39"/>
      <c r="J11" s="39"/>
    </row>
    <row r="12" spans="1:10">
      <c r="A12" s="215" t="s">
        <v>413</v>
      </c>
      <c r="B12" s="215">
        <f>ROW()</f>
        <v>12</v>
      </c>
      <c r="C12" s="220" t="s">
        <v>421</v>
      </c>
      <c r="D12" s="220" t="s">
        <v>418</v>
      </c>
      <c r="E12" s="54"/>
      <c r="F12" s="54"/>
      <c r="G12" s="54"/>
      <c r="H12" s="47">
        <f>SUM(E12:G12)</f>
        <v>0</v>
      </c>
      <c r="I12" s="39"/>
      <c r="J12" s="47">
        <f>H12</f>
        <v>0</v>
      </c>
    </row>
    <row r="13" spans="1:10">
      <c r="A13" s="215" t="s">
        <v>413</v>
      </c>
      <c r="B13" s="215">
        <f>ROW()</f>
        <v>13</v>
      </c>
      <c r="C13" s="220" t="s">
        <v>421</v>
      </c>
      <c r="D13" s="220" t="s">
        <v>419</v>
      </c>
      <c r="E13" s="54"/>
      <c r="F13" s="54"/>
      <c r="G13" s="54"/>
      <c r="H13" s="47">
        <f>SUM(E13:G13)</f>
        <v>0</v>
      </c>
      <c r="I13" s="54"/>
      <c r="J13" s="47">
        <f>SUM(H13:I13)</f>
        <v>0</v>
      </c>
    </row>
    <row r="14" spans="1:10">
      <c r="A14" s="215" t="s">
        <v>413</v>
      </c>
      <c r="B14" s="215">
        <f>ROW()</f>
        <v>14</v>
      </c>
      <c r="C14" s="219" t="s">
        <v>421</v>
      </c>
      <c r="D14" s="219" t="s">
        <v>420</v>
      </c>
      <c r="E14" s="39"/>
      <c r="F14" s="39"/>
      <c r="G14" s="39"/>
      <c r="H14" s="47">
        <f>SUM(H12:H13)</f>
        <v>0</v>
      </c>
      <c r="I14" s="39"/>
      <c r="J14" s="39"/>
    </row>
    <row r="15" spans="1:10">
      <c r="A15" s="215" t="s">
        <v>413</v>
      </c>
      <c r="B15" s="215">
        <f>ROW()</f>
        <v>15</v>
      </c>
      <c r="C15" s="220" t="s">
        <v>422</v>
      </c>
      <c r="D15" s="220" t="s">
        <v>418</v>
      </c>
      <c r="E15" s="54"/>
      <c r="F15" s="54"/>
      <c r="G15" s="54"/>
      <c r="H15" s="47">
        <f>SUM(E15:G15)</f>
        <v>0</v>
      </c>
      <c r="I15" s="39"/>
      <c r="J15" s="47">
        <f>H15</f>
        <v>0</v>
      </c>
    </row>
    <row r="16" spans="1:10">
      <c r="A16" s="215" t="s">
        <v>413</v>
      </c>
      <c r="B16" s="215">
        <f>ROW()</f>
        <v>16</v>
      </c>
      <c r="C16" s="220" t="s">
        <v>422</v>
      </c>
      <c r="D16" s="220" t="s">
        <v>419</v>
      </c>
      <c r="E16" s="54"/>
      <c r="F16" s="54"/>
      <c r="G16" s="54"/>
      <c r="H16" s="47">
        <f>SUM(E16:G16)</f>
        <v>0</v>
      </c>
      <c r="I16" s="54"/>
      <c r="J16" s="47">
        <f>SUM(H16:I16)</f>
        <v>0</v>
      </c>
    </row>
    <row r="17" spans="1:10">
      <c r="A17" s="215" t="s">
        <v>413</v>
      </c>
      <c r="B17" s="215">
        <f>ROW()</f>
        <v>17</v>
      </c>
      <c r="C17" s="219" t="s">
        <v>422</v>
      </c>
      <c r="D17" s="219" t="s">
        <v>420</v>
      </c>
      <c r="E17" s="39"/>
      <c r="F17" s="39"/>
      <c r="G17" s="39"/>
      <c r="H17" s="47">
        <f>SUM(H15:H16)</f>
        <v>0</v>
      </c>
      <c r="I17" s="39"/>
      <c r="J17" s="39"/>
    </row>
    <row r="18" spans="1:10">
      <c r="A18" s="215" t="s">
        <v>413</v>
      </c>
      <c r="B18" s="215">
        <f>ROW()</f>
        <v>18</v>
      </c>
      <c r="C18" s="219" t="s">
        <v>423</v>
      </c>
      <c r="D18" s="219" t="s">
        <v>418</v>
      </c>
      <c r="E18" s="47">
        <f>E6+E9+E12+E15</f>
        <v>0</v>
      </c>
      <c r="F18" s="47">
        <f t="shared" ref="F18:H18" si="0">F6+F9+F12+F15</f>
        <v>0</v>
      </c>
      <c r="G18" s="47">
        <f t="shared" si="0"/>
        <v>0</v>
      </c>
      <c r="H18" s="47">
        <f t="shared" si="0"/>
        <v>0</v>
      </c>
      <c r="I18" s="39"/>
      <c r="J18" s="47">
        <f t="shared" ref="J18" si="1">J6+J9+J12+J15</f>
        <v>0</v>
      </c>
    </row>
    <row r="19" spans="1:10">
      <c r="A19" s="215" t="s">
        <v>413</v>
      </c>
      <c r="B19" s="215">
        <f>ROW()</f>
        <v>19</v>
      </c>
      <c r="C19" s="219" t="s">
        <v>423</v>
      </c>
      <c r="D19" s="219" t="s">
        <v>419</v>
      </c>
      <c r="E19" s="47">
        <f>E7+E10+E13+E16</f>
        <v>0</v>
      </c>
      <c r="F19" s="47">
        <f>F7+F10+F13+F16</f>
        <v>0</v>
      </c>
      <c r="G19" s="47">
        <f t="shared" ref="G19:H19" si="2">G7+G10+G13+G16</f>
        <v>0</v>
      </c>
      <c r="H19" s="47">
        <f t="shared" si="2"/>
        <v>0</v>
      </c>
      <c r="I19" s="47">
        <f>I7+I10+I13+I16</f>
        <v>0</v>
      </c>
      <c r="J19" s="47">
        <f t="shared" ref="J19" si="3">J7+J10+J13+J16</f>
        <v>0</v>
      </c>
    </row>
    <row r="20" spans="1:10">
      <c r="A20" s="215" t="s">
        <v>413</v>
      </c>
      <c r="B20" s="215">
        <f>ROW()</f>
        <v>20</v>
      </c>
      <c r="C20" s="219" t="s">
        <v>423</v>
      </c>
      <c r="D20" s="219" t="s">
        <v>424</v>
      </c>
      <c r="E20" s="47">
        <f>SUM(E18:E19)</f>
        <v>0</v>
      </c>
      <c r="F20" s="47">
        <f>SUM(F18:F19)</f>
        <v>0</v>
      </c>
      <c r="G20" s="47">
        <f t="shared" ref="G20:J20" si="4">SUM(G18:G19)</f>
        <v>0</v>
      </c>
      <c r="H20" s="47">
        <f t="shared" si="4"/>
        <v>0</v>
      </c>
      <c r="I20" s="47">
        <f>I19</f>
        <v>0</v>
      </c>
      <c r="J20" s="47">
        <f t="shared" si="4"/>
        <v>0</v>
      </c>
    </row>
    <row r="22" spans="1:10" ht="21">
      <c r="B22" s="3" t="s">
        <v>425</v>
      </c>
      <c r="D22" s="15"/>
      <c r="E22" s="15"/>
    </row>
    <row r="23" spans="1:10" ht="29">
      <c r="A23" s="221" t="s">
        <v>80</v>
      </c>
      <c r="B23" s="222" t="s">
        <v>81</v>
      </c>
      <c r="C23" s="5" t="s">
        <v>426</v>
      </c>
      <c r="D23" s="17" t="s">
        <v>427</v>
      </c>
      <c r="E23" s="17" t="s">
        <v>428</v>
      </c>
      <c r="F23" s="17" t="s">
        <v>429</v>
      </c>
      <c r="G23" s="17" t="s">
        <v>430</v>
      </c>
    </row>
    <row r="24" spans="1:10">
      <c r="A24" s="215" t="s">
        <v>425</v>
      </c>
      <c r="B24" s="215">
        <f>ROW()</f>
        <v>24</v>
      </c>
      <c r="C24" s="100"/>
      <c r="D24" s="100"/>
      <c r="E24" s="100" t="s">
        <v>409</v>
      </c>
      <c r="F24" s="100"/>
      <c r="G24" s="100"/>
    </row>
    <row r="25" spans="1:10">
      <c r="A25" s="215" t="s">
        <v>425</v>
      </c>
      <c r="B25" s="215">
        <f>ROW()</f>
        <v>25</v>
      </c>
      <c r="C25" s="100"/>
      <c r="D25" s="100"/>
      <c r="E25" s="100" t="s">
        <v>409</v>
      </c>
      <c r="F25" s="100"/>
      <c r="G25" s="100"/>
    </row>
    <row r="26" spans="1:10">
      <c r="A26" s="215" t="s">
        <v>425</v>
      </c>
      <c r="B26" s="215">
        <f>ROW()</f>
        <v>26</v>
      </c>
      <c r="C26" s="100"/>
      <c r="D26" s="100"/>
      <c r="E26" s="100" t="s">
        <v>409</v>
      </c>
      <c r="F26" s="100"/>
      <c r="G26" s="100"/>
    </row>
    <row r="27" spans="1:10">
      <c r="A27" s="215" t="s">
        <v>425</v>
      </c>
      <c r="B27" s="215">
        <f>ROW()</f>
        <v>27</v>
      </c>
      <c r="C27" s="100"/>
      <c r="D27" s="100"/>
      <c r="E27" s="100" t="s">
        <v>409</v>
      </c>
      <c r="F27" s="100"/>
      <c r="G27" s="100"/>
    </row>
    <row r="28" spans="1:10">
      <c r="A28" s="215" t="s">
        <v>425</v>
      </c>
      <c r="B28" s="215">
        <f>ROW()</f>
        <v>28</v>
      </c>
      <c r="C28" s="100"/>
      <c r="D28" s="100"/>
      <c r="E28" s="100" t="s">
        <v>409</v>
      </c>
      <c r="F28" s="100"/>
      <c r="G28" s="100"/>
    </row>
    <row r="29" spans="1:10">
      <c r="A29" s="215" t="s">
        <v>425</v>
      </c>
      <c r="B29" s="215">
        <f>ROW()</f>
        <v>29</v>
      </c>
      <c r="C29" s="100"/>
      <c r="D29" s="100"/>
      <c r="E29" s="100" t="s">
        <v>409</v>
      </c>
      <c r="F29" s="100"/>
      <c r="G29" s="100"/>
    </row>
    <row r="30" spans="1:10">
      <c r="A30" s="215" t="s">
        <v>425</v>
      </c>
      <c r="B30" s="215">
        <f>ROW()</f>
        <v>30</v>
      </c>
      <c r="C30" s="100"/>
      <c r="D30" s="100"/>
      <c r="E30" s="100" t="s">
        <v>409</v>
      </c>
      <c r="F30" s="100"/>
      <c r="G30" s="100"/>
    </row>
    <row r="31" spans="1:10">
      <c r="A31" s="215" t="s">
        <v>425</v>
      </c>
      <c r="B31" s="215">
        <f>ROW()</f>
        <v>31</v>
      </c>
      <c r="C31" s="100"/>
      <c r="D31" s="100"/>
      <c r="E31" s="100" t="s">
        <v>409</v>
      </c>
      <c r="F31" s="100"/>
      <c r="G31" s="100"/>
    </row>
    <row r="32" spans="1:10">
      <c r="A32" s="215" t="s">
        <v>425</v>
      </c>
      <c r="B32" s="215">
        <f>ROW()</f>
        <v>32</v>
      </c>
      <c r="C32" s="100"/>
      <c r="D32" s="100"/>
      <c r="E32" s="100" t="s">
        <v>409</v>
      </c>
      <c r="F32" s="100"/>
      <c r="G32" s="100"/>
    </row>
    <row r="33" spans="1:7">
      <c r="A33" s="215" t="s">
        <v>425</v>
      </c>
      <c r="B33" s="215">
        <f>ROW()</f>
        <v>33</v>
      </c>
      <c r="C33" s="100"/>
      <c r="D33" s="100"/>
      <c r="E33" s="100" t="s">
        <v>409</v>
      </c>
      <c r="F33" s="100"/>
      <c r="G33" s="100"/>
    </row>
    <row r="34" spans="1:7">
      <c r="A34" s="215" t="s">
        <v>425</v>
      </c>
      <c r="B34" s="215">
        <f>ROW()</f>
        <v>34</v>
      </c>
      <c r="C34" s="100"/>
      <c r="D34" s="100"/>
      <c r="E34" s="100" t="s">
        <v>409</v>
      </c>
      <c r="F34" s="100"/>
      <c r="G34" s="100"/>
    </row>
    <row r="35" spans="1:7">
      <c r="A35" s="215" t="s">
        <v>425</v>
      </c>
      <c r="B35" s="215">
        <f>ROW()</f>
        <v>35</v>
      </c>
      <c r="C35" s="100"/>
      <c r="D35" s="100"/>
      <c r="E35" s="100" t="s">
        <v>409</v>
      </c>
      <c r="F35" s="100"/>
      <c r="G35" s="100"/>
    </row>
    <row r="36" spans="1:7">
      <c r="A36" s="215" t="s">
        <v>425</v>
      </c>
      <c r="B36" s="215">
        <f>ROW()</f>
        <v>36</v>
      </c>
      <c r="C36" s="100"/>
      <c r="D36" s="100"/>
      <c r="E36" s="100" t="s">
        <v>409</v>
      </c>
      <c r="F36" s="100"/>
      <c r="G36" s="100"/>
    </row>
    <row r="37" spans="1:7">
      <c r="A37" s="215" t="s">
        <v>425</v>
      </c>
      <c r="B37" s="215">
        <f>ROW()</f>
        <v>37</v>
      </c>
      <c r="C37" s="100"/>
      <c r="D37" s="100"/>
      <c r="E37" s="100" t="s">
        <v>409</v>
      </c>
      <c r="F37" s="100"/>
      <c r="G37" s="100"/>
    </row>
    <row r="38" spans="1:7">
      <c r="A38" s="215" t="s">
        <v>425</v>
      </c>
      <c r="B38" s="215">
        <f>ROW()</f>
        <v>38</v>
      </c>
      <c r="C38" s="100"/>
      <c r="D38" s="100"/>
      <c r="E38" s="100" t="s">
        <v>409</v>
      </c>
      <c r="F38" s="100"/>
      <c r="G38" s="100"/>
    </row>
    <row r="39" spans="1:7">
      <c r="A39" s="215" t="s">
        <v>425</v>
      </c>
      <c r="B39" s="215">
        <f>ROW()</f>
        <v>39</v>
      </c>
      <c r="C39" s="100"/>
      <c r="D39" s="100"/>
      <c r="E39" s="100" t="s">
        <v>409</v>
      </c>
      <c r="F39" s="100"/>
      <c r="G39" s="100"/>
    </row>
    <row r="40" spans="1:7">
      <c r="A40" s="215" t="s">
        <v>425</v>
      </c>
      <c r="B40" s="215">
        <f>ROW()</f>
        <v>40</v>
      </c>
      <c r="C40" s="100"/>
      <c r="D40" s="100"/>
      <c r="E40" s="100" t="s">
        <v>409</v>
      </c>
      <c r="F40" s="100"/>
      <c r="G40" s="100"/>
    </row>
    <row r="41" spans="1:7">
      <c r="A41" s="215" t="s">
        <v>425</v>
      </c>
      <c r="B41" s="215">
        <f>ROW()</f>
        <v>41</v>
      </c>
      <c r="C41" s="100"/>
      <c r="D41" s="100"/>
      <c r="E41" s="100" t="s">
        <v>409</v>
      </c>
      <c r="F41" s="100"/>
      <c r="G41" s="100"/>
    </row>
    <row r="42" spans="1:7">
      <c r="A42" s="215" t="s">
        <v>425</v>
      </c>
      <c r="B42" s="215">
        <f>ROW()</f>
        <v>42</v>
      </c>
      <c r="C42" s="100"/>
      <c r="D42" s="100"/>
      <c r="E42" s="100" t="s">
        <v>409</v>
      </c>
      <c r="F42" s="100"/>
      <c r="G42" s="100"/>
    </row>
    <row r="43" spans="1:7">
      <c r="A43" s="215" t="s">
        <v>425</v>
      </c>
      <c r="B43" s="215">
        <f>ROW()</f>
        <v>43</v>
      </c>
      <c r="C43" s="100"/>
      <c r="D43" s="100"/>
      <c r="E43" s="100" t="s">
        <v>409</v>
      </c>
      <c r="F43" s="100"/>
      <c r="G43" s="100"/>
    </row>
    <row r="44" spans="1:7">
      <c r="A44" s="215" t="s">
        <v>425</v>
      </c>
      <c r="B44" s="215">
        <f>ROW()</f>
        <v>44</v>
      </c>
      <c r="C44" s="100"/>
      <c r="D44" s="100"/>
      <c r="E44" s="100" t="s">
        <v>409</v>
      </c>
      <c r="F44" s="100"/>
      <c r="G44" s="100"/>
    </row>
    <row r="45" spans="1:7">
      <c r="A45" s="215" t="s">
        <v>425</v>
      </c>
      <c r="B45" s="215">
        <f>ROW()</f>
        <v>45</v>
      </c>
      <c r="C45" s="100"/>
      <c r="D45" s="100"/>
      <c r="E45" s="100" t="s">
        <v>409</v>
      </c>
      <c r="F45" s="100"/>
      <c r="G45" s="100"/>
    </row>
    <row r="46" spans="1:7">
      <c r="A46" s="215" t="s">
        <v>425</v>
      </c>
      <c r="B46" s="215">
        <f>ROW()</f>
        <v>46</v>
      </c>
      <c r="C46" s="100"/>
      <c r="D46" s="100"/>
      <c r="E46" s="100" t="s">
        <v>409</v>
      </c>
      <c r="F46" s="100"/>
      <c r="G46" s="100"/>
    </row>
    <row r="47" spans="1:7">
      <c r="A47" s="215" t="s">
        <v>425</v>
      </c>
      <c r="B47" s="215">
        <f>ROW()</f>
        <v>47</v>
      </c>
      <c r="C47" s="100"/>
      <c r="D47" s="100"/>
      <c r="E47" s="100" t="s">
        <v>409</v>
      </c>
      <c r="F47" s="100"/>
      <c r="G47" s="100"/>
    </row>
    <row r="48" spans="1:7">
      <c r="A48" s="215" t="s">
        <v>425</v>
      </c>
      <c r="B48" s="215">
        <f>ROW()</f>
        <v>48</v>
      </c>
      <c r="C48" s="100"/>
      <c r="D48" s="100"/>
      <c r="E48" s="100" t="s">
        <v>409</v>
      </c>
      <c r="F48" s="100"/>
      <c r="G48" s="100"/>
    </row>
    <row r="49" spans="1:7">
      <c r="A49" s="215" t="s">
        <v>425</v>
      </c>
      <c r="B49" s="215">
        <f>ROW()</f>
        <v>49</v>
      </c>
      <c r="C49" s="100"/>
      <c r="D49" s="100"/>
      <c r="E49" s="100" t="s">
        <v>409</v>
      </c>
      <c r="F49" s="100"/>
      <c r="G49" s="100"/>
    </row>
    <row r="50" spans="1:7">
      <c r="A50" s="215" t="s">
        <v>425</v>
      </c>
      <c r="B50" s="215">
        <f>ROW()</f>
        <v>50</v>
      </c>
      <c r="C50" s="100"/>
      <c r="D50" s="100"/>
      <c r="E50" s="100" t="s">
        <v>409</v>
      </c>
      <c r="F50" s="100"/>
      <c r="G50" s="100"/>
    </row>
    <row r="51" spans="1:7">
      <c r="A51" s="215" t="s">
        <v>425</v>
      </c>
      <c r="B51" s="215">
        <f>ROW()</f>
        <v>51</v>
      </c>
      <c r="C51" s="100"/>
      <c r="D51" s="100"/>
      <c r="E51" s="100" t="s">
        <v>409</v>
      </c>
      <c r="F51" s="100"/>
      <c r="G51" s="100"/>
    </row>
    <row r="52" spans="1:7">
      <c r="A52" s="215" t="s">
        <v>425</v>
      </c>
      <c r="B52" s="215">
        <f>ROW()</f>
        <v>52</v>
      </c>
      <c r="C52" s="100"/>
      <c r="D52" s="100"/>
      <c r="E52" s="100" t="s">
        <v>409</v>
      </c>
      <c r="F52" s="100"/>
      <c r="G52" s="100"/>
    </row>
    <row r="53" spans="1:7">
      <c r="A53" s="215" t="s">
        <v>425</v>
      </c>
      <c r="B53" s="215">
        <f>ROW()</f>
        <v>53</v>
      </c>
      <c r="C53" s="100"/>
      <c r="D53" s="100"/>
      <c r="E53" s="100" t="s">
        <v>409</v>
      </c>
      <c r="F53" s="100"/>
      <c r="G53" s="100"/>
    </row>
    <row r="54" spans="1:7">
      <c r="A54" s="215" t="s">
        <v>425</v>
      </c>
      <c r="B54" s="215">
        <f>ROW()</f>
        <v>54</v>
      </c>
      <c r="C54" s="100"/>
      <c r="D54" s="100"/>
      <c r="E54" s="100" t="s">
        <v>409</v>
      </c>
      <c r="F54" s="100"/>
      <c r="G54" s="100"/>
    </row>
    <row r="55" spans="1:7">
      <c r="A55" s="215" t="s">
        <v>425</v>
      </c>
      <c r="B55" s="215">
        <f>ROW()</f>
        <v>55</v>
      </c>
      <c r="C55" s="100"/>
      <c r="D55" s="100"/>
      <c r="E55" s="100" t="s">
        <v>409</v>
      </c>
      <c r="F55" s="100"/>
      <c r="G55" s="100"/>
    </row>
    <row r="56" spans="1:7">
      <c r="A56" s="215" t="s">
        <v>425</v>
      </c>
      <c r="B56" s="215">
        <f>ROW()</f>
        <v>56</v>
      </c>
      <c r="C56" s="100"/>
      <c r="D56" s="100"/>
      <c r="E56" s="100" t="s">
        <v>409</v>
      </c>
      <c r="F56" s="100"/>
      <c r="G56" s="100"/>
    </row>
    <row r="57" spans="1:7">
      <c r="A57" s="215" t="s">
        <v>425</v>
      </c>
      <c r="B57" s="215">
        <f>ROW()</f>
        <v>57</v>
      </c>
      <c r="C57" s="100"/>
      <c r="D57" s="100"/>
      <c r="E57" s="100" t="s">
        <v>409</v>
      </c>
      <c r="F57" s="100"/>
      <c r="G57" s="100"/>
    </row>
    <row r="58" spans="1:7">
      <c r="A58" s="215" t="s">
        <v>425</v>
      </c>
      <c r="B58" s="215">
        <f>ROW()</f>
        <v>58</v>
      </c>
      <c r="C58" s="100"/>
      <c r="D58" s="100"/>
      <c r="E58" s="100" t="s">
        <v>409</v>
      </c>
      <c r="F58" s="100"/>
      <c r="G58" s="100"/>
    </row>
    <row r="59" spans="1:7">
      <c r="A59" s="215" t="s">
        <v>425</v>
      </c>
      <c r="B59" s="215">
        <f>ROW()</f>
        <v>59</v>
      </c>
      <c r="C59" s="100"/>
      <c r="D59" s="100"/>
      <c r="E59" s="100" t="s">
        <v>409</v>
      </c>
      <c r="F59" s="100"/>
      <c r="G59" s="100"/>
    </row>
    <row r="60" spans="1:7">
      <c r="A60" s="215" t="s">
        <v>425</v>
      </c>
      <c r="B60" s="215">
        <f>ROW()</f>
        <v>60</v>
      </c>
      <c r="C60" s="100"/>
      <c r="D60" s="100"/>
      <c r="E60" s="100" t="s">
        <v>409</v>
      </c>
      <c r="F60" s="100"/>
      <c r="G60" s="100"/>
    </row>
    <row r="61" spans="1:7">
      <c r="A61" s="215" t="s">
        <v>425</v>
      </c>
      <c r="B61" s="215">
        <f>ROW()</f>
        <v>61</v>
      </c>
      <c r="C61" s="100"/>
      <c r="D61" s="100"/>
      <c r="E61" s="100" t="s">
        <v>409</v>
      </c>
      <c r="F61" s="100"/>
      <c r="G61" s="100"/>
    </row>
    <row r="62" spans="1:7">
      <c r="A62" s="215" t="s">
        <v>425</v>
      </c>
      <c r="B62" s="215">
        <f>ROW()</f>
        <v>62</v>
      </c>
      <c r="C62" s="100"/>
      <c r="D62" s="100"/>
      <c r="E62" s="100" t="s">
        <v>409</v>
      </c>
      <c r="F62" s="100"/>
      <c r="G62" s="100"/>
    </row>
    <row r="63" spans="1:7">
      <c r="A63" s="215" t="s">
        <v>425</v>
      </c>
      <c r="B63" s="215">
        <f>ROW()</f>
        <v>63</v>
      </c>
      <c r="C63" s="100"/>
      <c r="D63" s="100"/>
      <c r="E63" s="100" t="s">
        <v>409</v>
      </c>
      <c r="F63" s="100"/>
      <c r="G63" s="100"/>
    </row>
    <row r="64" spans="1:7">
      <c r="A64" s="215" t="s">
        <v>425</v>
      </c>
      <c r="B64" s="215">
        <f>ROW()</f>
        <v>64</v>
      </c>
      <c r="C64" s="100"/>
      <c r="D64" s="100"/>
      <c r="E64" s="100" t="s">
        <v>409</v>
      </c>
      <c r="F64" s="100"/>
      <c r="G64" s="100"/>
    </row>
    <row r="65" spans="1:7">
      <c r="A65" s="215" t="s">
        <v>425</v>
      </c>
      <c r="B65" s="215">
        <f>ROW()</f>
        <v>65</v>
      </c>
      <c r="C65" s="100"/>
      <c r="D65" s="100"/>
      <c r="E65" s="100" t="s">
        <v>409</v>
      </c>
      <c r="F65" s="100"/>
      <c r="G65" s="100"/>
    </row>
    <row r="66" spans="1:7">
      <c r="A66" s="215" t="s">
        <v>425</v>
      </c>
      <c r="B66" s="215">
        <f>ROW()</f>
        <v>66</v>
      </c>
      <c r="C66" s="100"/>
      <c r="D66" s="100"/>
      <c r="E66" s="100" t="s">
        <v>409</v>
      </c>
      <c r="F66" s="100"/>
      <c r="G66" s="100"/>
    </row>
    <row r="67" spans="1:7">
      <c r="A67" s="215" t="s">
        <v>425</v>
      </c>
      <c r="B67" s="215">
        <f>ROW()</f>
        <v>67</v>
      </c>
      <c r="C67" s="100"/>
      <c r="D67" s="100"/>
      <c r="E67" s="100" t="s">
        <v>409</v>
      </c>
      <c r="F67" s="100"/>
      <c r="G67" s="100"/>
    </row>
    <row r="68" spans="1:7">
      <c r="A68" s="215" t="s">
        <v>425</v>
      </c>
      <c r="B68" s="215">
        <f>ROW()</f>
        <v>68</v>
      </c>
      <c r="C68" s="100"/>
      <c r="D68" s="100"/>
      <c r="E68" s="100" t="s">
        <v>409</v>
      </c>
      <c r="F68" s="100"/>
      <c r="G68" s="100"/>
    </row>
    <row r="69" spans="1:7">
      <c r="A69" s="215" t="s">
        <v>425</v>
      </c>
      <c r="B69" s="215">
        <f>ROW()</f>
        <v>69</v>
      </c>
      <c r="C69" s="100"/>
      <c r="D69" s="100"/>
      <c r="E69" s="100" t="s">
        <v>409</v>
      </c>
      <c r="F69" s="100"/>
      <c r="G69" s="100"/>
    </row>
    <row r="70" spans="1:7">
      <c r="A70" s="215" t="s">
        <v>425</v>
      </c>
      <c r="B70" s="215">
        <f>ROW()</f>
        <v>70</v>
      </c>
      <c r="C70" s="100"/>
      <c r="D70" s="100"/>
      <c r="E70" s="100" t="s">
        <v>409</v>
      </c>
      <c r="F70" s="100"/>
      <c r="G70" s="100"/>
    </row>
    <row r="71" spans="1:7">
      <c r="A71" s="215" t="s">
        <v>425</v>
      </c>
      <c r="B71" s="215">
        <f>ROW()</f>
        <v>71</v>
      </c>
      <c r="C71" s="100"/>
      <c r="D71" s="100"/>
      <c r="E71" s="100" t="s">
        <v>409</v>
      </c>
      <c r="F71" s="100"/>
      <c r="G71" s="100"/>
    </row>
    <row r="72" spans="1:7">
      <c r="A72" s="215" t="s">
        <v>425</v>
      </c>
      <c r="B72" s="215">
        <f>ROW()</f>
        <v>72</v>
      </c>
      <c r="C72" s="100"/>
      <c r="D72" s="100"/>
      <c r="E72" s="100" t="s">
        <v>409</v>
      </c>
      <c r="F72" s="100"/>
      <c r="G72" s="100"/>
    </row>
    <row r="73" spans="1:7">
      <c r="A73" s="215" t="s">
        <v>425</v>
      </c>
      <c r="B73" s="215">
        <f>ROW()</f>
        <v>73</v>
      </c>
      <c r="C73" s="100"/>
      <c r="D73" s="100"/>
      <c r="E73" s="100" t="s">
        <v>409</v>
      </c>
      <c r="F73" s="100"/>
      <c r="G73" s="100"/>
    </row>
    <row r="74" spans="1:7">
      <c r="A74" s="215" t="s">
        <v>425</v>
      </c>
      <c r="B74" s="215">
        <f>ROW()</f>
        <v>74</v>
      </c>
      <c r="C74" s="100"/>
      <c r="D74" s="100"/>
      <c r="E74" s="100" t="s">
        <v>409</v>
      </c>
      <c r="F74" s="100"/>
      <c r="G74" s="100"/>
    </row>
    <row r="75" spans="1:7">
      <c r="A75" s="215" t="s">
        <v>425</v>
      </c>
      <c r="B75" s="215">
        <f>ROW()</f>
        <v>75</v>
      </c>
      <c r="C75" s="100"/>
      <c r="D75" s="100"/>
      <c r="E75" s="100" t="s">
        <v>409</v>
      </c>
      <c r="F75" s="100"/>
      <c r="G75" s="100"/>
    </row>
    <row r="76" spans="1:7">
      <c r="A76" s="215" t="s">
        <v>425</v>
      </c>
      <c r="B76" s="215">
        <f>ROW()</f>
        <v>76</v>
      </c>
      <c r="C76" s="100"/>
      <c r="D76" s="100"/>
      <c r="E76" s="100" t="s">
        <v>409</v>
      </c>
      <c r="F76" s="100"/>
      <c r="G76" s="100"/>
    </row>
    <row r="77" spans="1:7">
      <c r="A77" s="215" t="s">
        <v>425</v>
      </c>
      <c r="B77" s="215">
        <f>ROW()</f>
        <v>77</v>
      </c>
      <c r="C77" s="100"/>
      <c r="D77" s="100"/>
      <c r="E77" s="100" t="s">
        <v>409</v>
      </c>
      <c r="F77" s="100"/>
      <c r="G77" s="100"/>
    </row>
    <row r="78" spans="1:7">
      <c r="A78" s="215" t="s">
        <v>425</v>
      </c>
      <c r="B78" s="215">
        <f>ROW()</f>
        <v>78</v>
      </c>
      <c r="C78" s="100"/>
      <c r="D78" s="100"/>
      <c r="E78" s="100" t="s">
        <v>409</v>
      </c>
      <c r="F78" s="100"/>
      <c r="G78" s="100"/>
    </row>
    <row r="79" spans="1:7">
      <c r="A79" s="215" t="s">
        <v>425</v>
      </c>
      <c r="B79" s="215">
        <f>ROW()</f>
        <v>79</v>
      </c>
      <c r="C79" s="100"/>
      <c r="D79" s="100"/>
      <c r="E79" s="100" t="s">
        <v>409</v>
      </c>
      <c r="F79" s="100"/>
      <c r="G79" s="100"/>
    </row>
    <row r="80" spans="1:7">
      <c r="A80" s="215" t="s">
        <v>425</v>
      </c>
      <c r="B80" s="215">
        <f>ROW()</f>
        <v>80</v>
      </c>
      <c r="C80" s="100"/>
      <c r="D80" s="100"/>
      <c r="E80" s="100" t="s">
        <v>409</v>
      </c>
      <c r="F80" s="100"/>
      <c r="G80" s="100"/>
    </row>
    <row r="81" spans="1:7">
      <c r="A81" s="215" t="s">
        <v>425</v>
      </c>
      <c r="B81" s="215">
        <f>ROW()</f>
        <v>81</v>
      </c>
      <c r="C81" s="100"/>
      <c r="D81" s="100"/>
      <c r="E81" s="100" t="s">
        <v>409</v>
      </c>
      <c r="F81" s="100"/>
      <c r="G81" s="100"/>
    </row>
    <row r="82" spans="1:7">
      <c r="A82" s="215" t="s">
        <v>425</v>
      </c>
      <c r="B82" s="215">
        <f>ROW()</f>
        <v>82</v>
      </c>
      <c r="C82" s="100"/>
      <c r="D82" s="100"/>
      <c r="E82" s="100" t="s">
        <v>409</v>
      </c>
      <c r="F82" s="100"/>
      <c r="G82" s="100"/>
    </row>
    <row r="83" spans="1:7">
      <c r="A83" s="215" t="s">
        <v>425</v>
      </c>
      <c r="B83" s="215">
        <f>ROW()</f>
        <v>83</v>
      </c>
      <c r="C83" s="100"/>
      <c r="D83" s="100"/>
      <c r="E83" s="100" t="s">
        <v>409</v>
      </c>
      <c r="F83" s="100"/>
      <c r="G83" s="100"/>
    </row>
    <row r="84" spans="1:7">
      <c r="A84" s="215" t="s">
        <v>425</v>
      </c>
      <c r="B84" s="215">
        <f>ROW()</f>
        <v>84</v>
      </c>
      <c r="C84" s="100"/>
      <c r="D84" s="100"/>
      <c r="E84" s="100" t="s">
        <v>409</v>
      </c>
      <c r="F84" s="100"/>
      <c r="G84" s="100"/>
    </row>
    <row r="85" spans="1:7">
      <c r="A85" s="215" t="s">
        <v>425</v>
      </c>
      <c r="B85" s="215">
        <f>ROW()</f>
        <v>85</v>
      </c>
      <c r="C85" s="100"/>
      <c r="D85" s="100"/>
      <c r="E85" s="100" t="s">
        <v>409</v>
      </c>
      <c r="F85" s="100"/>
      <c r="G85" s="100"/>
    </row>
    <row r="86" spans="1:7">
      <c r="A86" s="215" t="s">
        <v>425</v>
      </c>
      <c r="B86" s="215">
        <f>ROW()</f>
        <v>86</v>
      </c>
      <c r="C86" s="100"/>
      <c r="D86" s="100"/>
      <c r="E86" s="100" t="s">
        <v>409</v>
      </c>
      <c r="F86" s="100"/>
      <c r="G86" s="100"/>
    </row>
    <row r="87" spans="1:7">
      <c r="A87" s="215" t="s">
        <v>425</v>
      </c>
      <c r="B87" s="215">
        <f>ROW()</f>
        <v>87</v>
      </c>
      <c r="C87" s="100"/>
      <c r="D87" s="100"/>
      <c r="E87" s="100" t="s">
        <v>409</v>
      </c>
      <c r="F87" s="100"/>
      <c r="G87" s="100"/>
    </row>
    <row r="88" spans="1:7">
      <c r="A88" s="215" t="s">
        <v>425</v>
      </c>
      <c r="B88" s="215">
        <f>ROW()</f>
        <v>88</v>
      </c>
      <c r="C88" s="100"/>
      <c r="D88" s="100"/>
      <c r="E88" s="100" t="s">
        <v>409</v>
      </c>
      <c r="F88" s="100"/>
      <c r="G88" s="100"/>
    </row>
    <row r="89" spans="1:7">
      <c r="A89" s="215" t="s">
        <v>425</v>
      </c>
      <c r="B89" s="215">
        <f>ROW()</f>
        <v>89</v>
      </c>
      <c r="C89" s="100"/>
      <c r="D89" s="100"/>
      <c r="E89" s="100" t="s">
        <v>409</v>
      </c>
      <c r="F89" s="100"/>
      <c r="G89" s="100"/>
    </row>
    <row r="90" spans="1:7">
      <c r="A90" s="215" t="s">
        <v>425</v>
      </c>
      <c r="B90" s="215">
        <f>ROW()</f>
        <v>90</v>
      </c>
      <c r="C90" s="100"/>
      <c r="D90" s="100"/>
      <c r="E90" s="100" t="s">
        <v>409</v>
      </c>
      <c r="F90" s="100"/>
      <c r="G90" s="100"/>
    </row>
    <row r="91" spans="1:7">
      <c r="A91" s="215" t="s">
        <v>425</v>
      </c>
      <c r="B91" s="215">
        <f>ROW()</f>
        <v>91</v>
      </c>
      <c r="C91" s="100"/>
      <c r="D91" s="100"/>
      <c r="E91" s="100" t="s">
        <v>409</v>
      </c>
      <c r="F91" s="100"/>
      <c r="G91" s="100"/>
    </row>
    <row r="92" spans="1:7">
      <c r="A92" s="215" t="s">
        <v>425</v>
      </c>
      <c r="B92" s="215">
        <f>ROW()</f>
        <v>92</v>
      </c>
      <c r="C92" s="100"/>
      <c r="D92" s="100"/>
      <c r="E92" s="100" t="s">
        <v>409</v>
      </c>
      <c r="F92" s="100"/>
      <c r="G92" s="100"/>
    </row>
    <row r="93" spans="1:7">
      <c r="A93" s="215" t="s">
        <v>425</v>
      </c>
      <c r="B93" s="215">
        <f>ROW()</f>
        <v>93</v>
      </c>
      <c r="C93" s="100"/>
      <c r="D93" s="100"/>
      <c r="E93" s="100" t="s">
        <v>409</v>
      </c>
      <c r="F93" s="100"/>
      <c r="G93" s="100"/>
    </row>
    <row r="94" spans="1:7">
      <c r="A94" s="215" t="s">
        <v>425</v>
      </c>
      <c r="B94" s="215">
        <f>ROW()</f>
        <v>94</v>
      </c>
      <c r="C94" s="100"/>
      <c r="D94" s="100"/>
      <c r="E94" s="100" t="s">
        <v>409</v>
      </c>
      <c r="F94" s="100"/>
      <c r="G94" s="100"/>
    </row>
    <row r="95" spans="1:7">
      <c r="A95" s="215" t="s">
        <v>425</v>
      </c>
      <c r="B95" s="215">
        <f>ROW()</f>
        <v>95</v>
      </c>
      <c r="C95" s="100"/>
      <c r="D95" s="100"/>
      <c r="E95" s="100" t="s">
        <v>409</v>
      </c>
      <c r="F95" s="100"/>
      <c r="G95" s="100"/>
    </row>
    <row r="96" spans="1:7">
      <c r="A96" s="215" t="s">
        <v>425</v>
      </c>
      <c r="B96" s="215">
        <f>ROW()</f>
        <v>96</v>
      </c>
      <c r="C96" s="100"/>
      <c r="D96" s="100"/>
      <c r="E96" s="100" t="s">
        <v>409</v>
      </c>
      <c r="F96" s="100"/>
      <c r="G96" s="100"/>
    </row>
    <row r="97" spans="1:7">
      <c r="A97" s="215" t="s">
        <v>425</v>
      </c>
      <c r="B97" s="215">
        <f>ROW()</f>
        <v>97</v>
      </c>
      <c r="C97" s="100"/>
      <c r="D97" s="100"/>
      <c r="E97" s="100" t="s">
        <v>409</v>
      </c>
      <c r="F97" s="100"/>
      <c r="G97" s="100"/>
    </row>
    <row r="98" spans="1:7">
      <c r="A98" s="215" t="s">
        <v>425</v>
      </c>
      <c r="B98" s="215">
        <f>ROW()</f>
        <v>98</v>
      </c>
      <c r="C98" s="100"/>
      <c r="D98" s="100"/>
      <c r="E98" s="100" t="s">
        <v>409</v>
      </c>
      <c r="F98" s="100"/>
      <c r="G98" s="100"/>
    </row>
    <row r="99" spans="1:7">
      <c r="A99" s="215" t="s">
        <v>425</v>
      </c>
      <c r="B99" s="215">
        <f>ROW()</f>
        <v>99</v>
      </c>
      <c r="C99" s="100"/>
      <c r="D99" s="100"/>
      <c r="E99" s="100" t="s">
        <v>409</v>
      </c>
      <c r="F99" s="100"/>
      <c r="G99" s="100"/>
    </row>
    <row r="100" spans="1:7">
      <c r="A100" s="215" t="s">
        <v>425</v>
      </c>
      <c r="B100" s="215">
        <f>ROW()</f>
        <v>100</v>
      </c>
      <c r="C100" s="100"/>
      <c r="D100" s="100"/>
      <c r="E100" s="100" t="s">
        <v>409</v>
      </c>
      <c r="F100" s="100"/>
      <c r="G100" s="100"/>
    </row>
    <row r="101" spans="1:7">
      <c r="A101" s="215" t="s">
        <v>425</v>
      </c>
      <c r="B101" s="215">
        <f>ROW()</f>
        <v>101</v>
      </c>
      <c r="C101" s="100"/>
      <c r="D101" s="100"/>
      <c r="E101" s="100" t="s">
        <v>409</v>
      </c>
      <c r="F101" s="100"/>
      <c r="G101" s="100"/>
    </row>
    <row r="102" spans="1:7">
      <c r="A102" s="215" t="s">
        <v>425</v>
      </c>
      <c r="B102" s="215">
        <f>ROW()</f>
        <v>102</v>
      </c>
      <c r="C102" s="100"/>
      <c r="D102" s="100"/>
      <c r="E102" s="100" t="s">
        <v>409</v>
      </c>
      <c r="F102" s="100"/>
      <c r="G102" s="100"/>
    </row>
    <row r="103" spans="1:7">
      <c r="A103" s="215" t="s">
        <v>425</v>
      </c>
      <c r="B103" s="215">
        <f>ROW()</f>
        <v>103</v>
      </c>
      <c r="C103" s="100"/>
      <c r="D103" s="100"/>
      <c r="E103" s="100" t="s">
        <v>409</v>
      </c>
      <c r="F103" s="100"/>
      <c r="G103" s="100"/>
    </row>
    <row r="104" spans="1:7">
      <c r="A104" s="215" t="s">
        <v>425</v>
      </c>
      <c r="B104" s="215">
        <f>ROW()</f>
        <v>104</v>
      </c>
      <c r="C104" s="100"/>
      <c r="D104" s="100"/>
      <c r="E104" s="100" t="s">
        <v>409</v>
      </c>
      <c r="F104" s="100"/>
      <c r="G104" s="100"/>
    </row>
    <row r="105" spans="1:7">
      <c r="A105" s="215" t="s">
        <v>425</v>
      </c>
      <c r="B105" s="215">
        <f>ROW()</f>
        <v>105</v>
      </c>
      <c r="C105" s="100"/>
      <c r="D105" s="100"/>
      <c r="E105" s="100" t="s">
        <v>409</v>
      </c>
      <c r="F105" s="100"/>
      <c r="G105" s="100"/>
    </row>
    <row r="106" spans="1:7">
      <c r="A106" s="215" t="s">
        <v>425</v>
      </c>
      <c r="B106" s="215">
        <f>ROW()</f>
        <v>106</v>
      </c>
      <c r="C106" s="100"/>
      <c r="D106" s="100"/>
      <c r="E106" s="100" t="s">
        <v>409</v>
      </c>
      <c r="F106" s="100"/>
      <c r="G106" s="100"/>
    </row>
    <row r="107" spans="1:7">
      <c r="A107" s="215" t="s">
        <v>425</v>
      </c>
      <c r="B107" s="215">
        <f>ROW()</f>
        <v>107</v>
      </c>
      <c r="C107" s="100"/>
      <c r="D107" s="100"/>
      <c r="E107" s="100" t="s">
        <v>409</v>
      </c>
      <c r="F107" s="100"/>
      <c r="G107" s="100"/>
    </row>
    <row r="108" spans="1:7">
      <c r="A108" s="215" t="s">
        <v>425</v>
      </c>
      <c r="B108" s="215">
        <f>ROW()</f>
        <v>108</v>
      </c>
      <c r="C108" s="100"/>
      <c r="D108" s="100"/>
      <c r="E108" s="100" t="s">
        <v>409</v>
      </c>
      <c r="F108" s="100"/>
      <c r="G108" s="100"/>
    </row>
    <row r="109" spans="1:7">
      <c r="A109" s="215" t="s">
        <v>425</v>
      </c>
      <c r="B109" s="215">
        <f>ROW()</f>
        <v>109</v>
      </c>
      <c r="C109" s="100"/>
      <c r="D109" s="100"/>
      <c r="E109" s="100" t="s">
        <v>409</v>
      </c>
      <c r="F109" s="100"/>
      <c r="G109" s="100"/>
    </row>
    <row r="110" spans="1:7">
      <c r="A110" s="215" t="s">
        <v>425</v>
      </c>
      <c r="B110" s="215">
        <f>ROW()</f>
        <v>110</v>
      </c>
      <c r="C110" s="100"/>
      <c r="D110" s="100"/>
      <c r="E110" s="100" t="s">
        <v>409</v>
      </c>
      <c r="F110" s="100"/>
      <c r="G110" s="100"/>
    </row>
    <row r="111" spans="1:7">
      <c r="A111" s="215" t="s">
        <v>425</v>
      </c>
      <c r="B111" s="215">
        <f>ROW()</f>
        <v>111</v>
      </c>
      <c r="C111" s="100"/>
      <c r="D111" s="100"/>
      <c r="E111" s="100" t="s">
        <v>409</v>
      </c>
      <c r="F111" s="100"/>
      <c r="G111" s="100"/>
    </row>
    <row r="112" spans="1:7">
      <c r="A112" s="215" t="s">
        <v>425</v>
      </c>
      <c r="B112" s="215">
        <f>ROW()</f>
        <v>112</v>
      </c>
      <c r="C112" s="100"/>
      <c r="D112" s="100"/>
      <c r="E112" s="100" t="s">
        <v>409</v>
      </c>
      <c r="F112" s="100"/>
      <c r="G112" s="100"/>
    </row>
    <row r="113" spans="1:8">
      <c r="A113" s="215" t="s">
        <v>425</v>
      </c>
      <c r="B113" s="215">
        <f>ROW()</f>
        <v>113</v>
      </c>
      <c r="C113" s="100"/>
      <c r="D113" s="100"/>
      <c r="E113" s="100" t="s">
        <v>409</v>
      </c>
      <c r="F113" s="100"/>
      <c r="G113" s="100"/>
    </row>
    <row r="114" spans="1:8">
      <c r="B114" s="45" t="s">
        <v>431</v>
      </c>
      <c r="C114" s="244"/>
      <c r="D114" s="245"/>
      <c r="E114" s="245"/>
      <c r="F114" s="245"/>
      <c r="G114" s="245"/>
    </row>
    <row r="116" spans="1:8" ht="21">
      <c r="B116" s="3" t="s">
        <v>432</v>
      </c>
      <c r="D116" s="15"/>
      <c r="E116" s="15"/>
    </row>
    <row r="117" spans="1:8" ht="21">
      <c r="B117" s="3" t="s">
        <v>433</v>
      </c>
      <c r="D117" s="15"/>
      <c r="E117" s="15"/>
    </row>
    <row r="118" spans="1:8" ht="58">
      <c r="A118" s="221" t="s">
        <v>80</v>
      </c>
      <c r="B118" s="222" t="s">
        <v>81</v>
      </c>
      <c r="C118" s="5" t="s">
        <v>83</v>
      </c>
      <c r="D118" s="6" t="s">
        <v>151</v>
      </c>
      <c r="E118" s="17" t="s">
        <v>434</v>
      </c>
      <c r="F118" s="17" t="s">
        <v>435</v>
      </c>
      <c r="G118" s="17" t="s">
        <v>436</v>
      </c>
      <c r="H118" s="17" t="s">
        <v>437</v>
      </c>
    </row>
    <row r="119" spans="1:8">
      <c r="A119" s="215" t="s">
        <v>433</v>
      </c>
      <c r="B119" s="215">
        <f>ROW()</f>
        <v>119</v>
      </c>
      <c r="C119" s="220" t="s">
        <v>438</v>
      </c>
      <c r="D119" s="220"/>
      <c r="E119" s="100"/>
      <c r="F119" s="39"/>
      <c r="G119" s="39"/>
      <c r="H119" s="39"/>
    </row>
    <row r="120" spans="1:8">
      <c r="A120" s="215" t="s">
        <v>433</v>
      </c>
      <c r="B120" s="215">
        <f>ROW()</f>
        <v>120</v>
      </c>
      <c r="C120" s="220" t="s">
        <v>439</v>
      </c>
      <c r="D120" s="220" t="s">
        <v>440</v>
      </c>
      <c r="E120" s="100"/>
      <c r="F120" s="54"/>
      <c r="G120" s="54"/>
      <c r="H120" s="54"/>
    </row>
    <row r="121" spans="1:8" ht="15" thickBot="1">
      <c r="A121" s="215" t="s">
        <v>433</v>
      </c>
      <c r="B121" s="215">
        <f>ROW()</f>
        <v>121</v>
      </c>
      <c r="C121" s="220" t="s">
        <v>441</v>
      </c>
      <c r="D121" s="220" t="s">
        <v>442</v>
      </c>
      <c r="E121" s="100"/>
      <c r="F121" s="54"/>
      <c r="G121" s="54"/>
      <c r="H121" s="54"/>
    </row>
    <row r="122" spans="1:8" ht="15" thickBot="1">
      <c r="A122" s="215" t="s">
        <v>433</v>
      </c>
      <c r="B122" s="215">
        <f>ROW()</f>
        <v>122</v>
      </c>
      <c r="C122" s="219" t="s">
        <v>429</v>
      </c>
      <c r="D122" s="219" t="s">
        <v>443</v>
      </c>
      <c r="E122" s="100"/>
      <c r="F122" s="160">
        <f>F120-F121</f>
        <v>0</v>
      </c>
      <c r="G122" s="160">
        <f>G120-G121</f>
        <v>0</v>
      </c>
      <c r="H122" s="156">
        <f t="shared" ref="H122" si="5">H120-H121</f>
        <v>0</v>
      </c>
    </row>
    <row r="123" spans="1:8">
      <c r="A123" s="215" t="s">
        <v>433</v>
      </c>
      <c r="B123" s="215">
        <f>ROW()</f>
        <v>123</v>
      </c>
      <c r="C123" s="220" t="s">
        <v>438</v>
      </c>
      <c r="D123" s="220"/>
      <c r="E123" s="100"/>
      <c r="F123" s="39"/>
      <c r="G123" s="39"/>
      <c r="H123" s="39"/>
    </row>
    <row r="124" spans="1:8">
      <c r="A124" s="215" t="s">
        <v>433</v>
      </c>
      <c r="B124" s="215">
        <f>ROW()</f>
        <v>124</v>
      </c>
      <c r="C124" s="220" t="s">
        <v>439</v>
      </c>
      <c r="D124" s="220" t="s">
        <v>440</v>
      </c>
      <c r="E124" s="100"/>
      <c r="F124" s="54"/>
      <c r="G124" s="54"/>
      <c r="H124" s="54"/>
    </row>
    <row r="125" spans="1:8" ht="15" thickBot="1">
      <c r="A125" s="215" t="s">
        <v>433</v>
      </c>
      <c r="B125" s="215">
        <f>ROW()</f>
        <v>125</v>
      </c>
      <c r="C125" s="220" t="s">
        <v>441</v>
      </c>
      <c r="D125" s="220" t="s">
        <v>442</v>
      </c>
      <c r="E125" s="100"/>
      <c r="F125" s="54"/>
      <c r="G125" s="54"/>
      <c r="H125" s="54"/>
    </row>
    <row r="126" spans="1:8" ht="15" thickBot="1">
      <c r="A126" s="215" t="s">
        <v>433</v>
      </c>
      <c r="B126" s="215">
        <f>ROW()</f>
        <v>126</v>
      </c>
      <c r="C126" s="219" t="s">
        <v>429</v>
      </c>
      <c r="D126" s="219" t="s">
        <v>443</v>
      </c>
      <c r="E126" s="100"/>
      <c r="F126" s="160">
        <f>F124-F125</f>
        <v>0</v>
      </c>
      <c r="G126" s="160">
        <f t="shared" ref="G126" si="6">G124-G125</f>
        <v>0</v>
      </c>
      <c r="H126" s="160">
        <f t="shared" ref="H126" si="7">H124-H125</f>
        <v>0</v>
      </c>
    </row>
    <row r="127" spans="1:8">
      <c r="A127" s="215" t="s">
        <v>433</v>
      </c>
      <c r="B127" s="215">
        <f>ROW()</f>
        <v>127</v>
      </c>
      <c r="C127" s="220" t="s">
        <v>438</v>
      </c>
      <c r="D127" s="220"/>
      <c r="E127" s="100"/>
      <c r="F127" s="39"/>
      <c r="G127" s="39"/>
      <c r="H127" s="39"/>
    </row>
    <row r="128" spans="1:8">
      <c r="A128" s="215" t="s">
        <v>433</v>
      </c>
      <c r="B128" s="215">
        <f>ROW()</f>
        <v>128</v>
      </c>
      <c r="C128" s="220" t="s">
        <v>439</v>
      </c>
      <c r="D128" s="220" t="s">
        <v>440</v>
      </c>
      <c r="E128" s="100"/>
      <c r="F128" s="54"/>
      <c r="G128" s="54"/>
      <c r="H128" s="54"/>
    </row>
    <row r="129" spans="1:8" ht="15" thickBot="1">
      <c r="A129" s="215" t="s">
        <v>433</v>
      </c>
      <c r="B129" s="215">
        <f>ROW()</f>
        <v>129</v>
      </c>
      <c r="C129" s="220" t="s">
        <v>441</v>
      </c>
      <c r="D129" s="220" t="s">
        <v>442</v>
      </c>
      <c r="E129" s="100"/>
      <c r="F129" s="54"/>
      <c r="G129" s="54"/>
      <c r="H129" s="54"/>
    </row>
    <row r="130" spans="1:8" ht="15" thickBot="1">
      <c r="A130" s="215" t="s">
        <v>433</v>
      </c>
      <c r="B130" s="215">
        <f>ROW()</f>
        <v>130</v>
      </c>
      <c r="C130" s="219" t="s">
        <v>429</v>
      </c>
      <c r="D130" s="219" t="s">
        <v>443</v>
      </c>
      <c r="E130" s="100"/>
      <c r="F130" s="160">
        <f>F128-F129</f>
        <v>0</v>
      </c>
      <c r="G130" s="160">
        <f t="shared" ref="G130" si="8">G128-G129</f>
        <v>0</v>
      </c>
      <c r="H130" s="160">
        <f t="shared" ref="H130" si="9">H128-H129</f>
        <v>0</v>
      </c>
    </row>
    <row r="131" spans="1:8">
      <c r="A131" s="215" t="s">
        <v>433</v>
      </c>
      <c r="B131" s="215">
        <f>ROW()</f>
        <v>131</v>
      </c>
      <c r="C131" s="220" t="s">
        <v>438</v>
      </c>
      <c r="D131" s="220"/>
      <c r="E131" s="100"/>
      <c r="F131" s="39"/>
      <c r="G131" s="39"/>
      <c r="H131" s="39"/>
    </row>
    <row r="132" spans="1:8">
      <c r="A132" s="215" t="s">
        <v>433</v>
      </c>
      <c r="B132" s="215">
        <f>ROW()</f>
        <v>132</v>
      </c>
      <c r="C132" s="220" t="s">
        <v>439</v>
      </c>
      <c r="D132" s="220" t="s">
        <v>440</v>
      </c>
      <c r="E132" s="100"/>
      <c r="F132" s="54"/>
      <c r="G132" s="54"/>
      <c r="H132" s="54"/>
    </row>
    <row r="133" spans="1:8" ht="15" thickBot="1">
      <c r="A133" s="215" t="s">
        <v>433</v>
      </c>
      <c r="B133" s="215">
        <f>ROW()</f>
        <v>133</v>
      </c>
      <c r="C133" s="220" t="s">
        <v>441</v>
      </c>
      <c r="D133" s="220" t="s">
        <v>442</v>
      </c>
      <c r="E133" s="100"/>
      <c r="F133" s="54"/>
      <c r="G133" s="54"/>
      <c r="H133" s="54"/>
    </row>
    <row r="134" spans="1:8" ht="15" thickBot="1">
      <c r="A134" s="215" t="s">
        <v>433</v>
      </c>
      <c r="B134" s="215">
        <f>ROW()</f>
        <v>134</v>
      </c>
      <c r="C134" s="219" t="s">
        <v>429</v>
      </c>
      <c r="D134" s="219" t="s">
        <v>443</v>
      </c>
      <c r="E134" s="100"/>
      <c r="F134" s="160">
        <f>F132-F133</f>
        <v>0</v>
      </c>
      <c r="G134" s="160">
        <f t="shared" ref="G134" si="10">G132-G133</f>
        <v>0</v>
      </c>
      <c r="H134" s="160">
        <f t="shared" ref="H134" si="11">H132-H133</f>
        <v>0</v>
      </c>
    </row>
    <row r="135" spans="1:8">
      <c r="A135" s="215" t="s">
        <v>433</v>
      </c>
      <c r="B135" s="215">
        <f>ROW()</f>
        <v>135</v>
      </c>
      <c r="C135" s="220" t="s">
        <v>438</v>
      </c>
      <c r="D135" s="220"/>
      <c r="E135" s="100"/>
      <c r="F135" s="39"/>
      <c r="G135" s="39"/>
      <c r="H135" s="39"/>
    </row>
    <row r="136" spans="1:8">
      <c r="A136" s="215" t="s">
        <v>433</v>
      </c>
      <c r="B136" s="215">
        <f>ROW()</f>
        <v>136</v>
      </c>
      <c r="C136" s="220" t="s">
        <v>439</v>
      </c>
      <c r="D136" s="220" t="s">
        <v>440</v>
      </c>
      <c r="E136" s="100"/>
      <c r="F136" s="54"/>
      <c r="G136" s="54"/>
      <c r="H136" s="54"/>
    </row>
    <row r="137" spans="1:8" ht="15" thickBot="1">
      <c r="A137" s="215" t="s">
        <v>433</v>
      </c>
      <c r="B137" s="215">
        <f>ROW()</f>
        <v>137</v>
      </c>
      <c r="C137" s="220" t="s">
        <v>441</v>
      </c>
      <c r="D137" s="220" t="s">
        <v>442</v>
      </c>
      <c r="E137" s="100"/>
      <c r="F137" s="54"/>
      <c r="G137" s="54"/>
      <c r="H137" s="54"/>
    </row>
    <row r="138" spans="1:8" ht="15" thickBot="1">
      <c r="A138" s="215" t="s">
        <v>433</v>
      </c>
      <c r="B138" s="215">
        <f>ROW()</f>
        <v>138</v>
      </c>
      <c r="C138" s="219" t="s">
        <v>429</v>
      </c>
      <c r="D138" s="219" t="s">
        <v>443</v>
      </c>
      <c r="E138" s="100"/>
      <c r="F138" s="160">
        <f>F136-F137</f>
        <v>0</v>
      </c>
      <c r="G138" s="160">
        <f t="shared" ref="G138" si="12">G136-G137</f>
        <v>0</v>
      </c>
      <c r="H138" s="160">
        <f t="shared" ref="H138" si="13">H136-H137</f>
        <v>0</v>
      </c>
    </row>
    <row r="139" spans="1:8">
      <c r="A139" s="215" t="s">
        <v>433</v>
      </c>
      <c r="B139" s="215">
        <f>ROW()</f>
        <v>139</v>
      </c>
      <c r="C139" s="220" t="s">
        <v>438</v>
      </c>
      <c r="D139" s="220"/>
      <c r="E139" s="100"/>
      <c r="F139" s="39"/>
      <c r="G139" s="39"/>
      <c r="H139" s="39"/>
    </row>
    <row r="140" spans="1:8">
      <c r="A140" s="215" t="s">
        <v>433</v>
      </c>
      <c r="B140" s="215">
        <f>ROW()</f>
        <v>140</v>
      </c>
      <c r="C140" s="220" t="s">
        <v>439</v>
      </c>
      <c r="D140" s="220" t="s">
        <v>440</v>
      </c>
      <c r="E140" s="100"/>
      <c r="F140" s="54"/>
      <c r="G140" s="54"/>
      <c r="H140" s="54"/>
    </row>
    <row r="141" spans="1:8" ht="15" thickBot="1">
      <c r="A141" s="215" t="s">
        <v>433</v>
      </c>
      <c r="B141" s="215">
        <f>ROW()</f>
        <v>141</v>
      </c>
      <c r="C141" s="220" t="s">
        <v>441</v>
      </c>
      <c r="D141" s="220" t="s">
        <v>442</v>
      </c>
      <c r="E141" s="100"/>
      <c r="F141" s="54"/>
      <c r="G141" s="54"/>
      <c r="H141" s="54"/>
    </row>
    <row r="142" spans="1:8" ht="15" thickBot="1">
      <c r="A142" s="215" t="s">
        <v>433</v>
      </c>
      <c r="B142" s="215">
        <f>ROW()</f>
        <v>142</v>
      </c>
      <c r="C142" s="219" t="s">
        <v>429</v>
      </c>
      <c r="D142" s="219" t="s">
        <v>443</v>
      </c>
      <c r="E142" s="100"/>
      <c r="F142" s="160">
        <f>F140-F141</f>
        <v>0</v>
      </c>
      <c r="G142" s="160">
        <f t="shared" ref="G142" si="14">G140-G141</f>
        <v>0</v>
      </c>
      <c r="H142" s="160">
        <f t="shared" ref="H142" si="15">H140-H141</f>
        <v>0</v>
      </c>
    </row>
    <row r="143" spans="1:8">
      <c r="A143" s="215" t="s">
        <v>433</v>
      </c>
      <c r="B143" s="215">
        <f>ROW()</f>
        <v>143</v>
      </c>
      <c r="C143" s="220" t="s">
        <v>438</v>
      </c>
      <c r="D143" s="220"/>
      <c r="E143" s="100"/>
      <c r="F143" s="39"/>
      <c r="G143" s="39"/>
      <c r="H143" s="39"/>
    </row>
    <row r="144" spans="1:8">
      <c r="A144" s="215" t="s">
        <v>433</v>
      </c>
      <c r="B144" s="215">
        <f>ROW()</f>
        <v>144</v>
      </c>
      <c r="C144" s="220" t="s">
        <v>439</v>
      </c>
      <c r="D144" s="220" t="s">
        <v>440</v>
      </c>
      <c r="E144" s="100"/>
      <c r="F144" s="54"/>
      <c r="G144" s="54"/>
      <c r="H144" s="54"/>
    </row>
    <row r="145" spans="1:8" ht="15" thickBot="1">
      <c r="A145" s="215" t="s">
        <v>433</v>
      </c>
      <c r="B145" s="215">
        <f>ROW()</f>
        <v>145</v>
      </c>
      <c r="C145" s="220" t="s">
        <v>441</v>
      </c>
      <c r="D145" s="220" t="s">
        <v>442</v>
      </c>
      <c r="E145" s="100"/>
      <c r="F145" s="54"/>
      <c r="G145" s="54"/>
      <c r="H145" s="54"/>
    </row>
    <row r="146" spans="1:8" ht="15" thickBot="1">
      <c r="A146" s="215" t="s">
        <v>433</v>
      </c>
      <c r="B146" s="215">
        <f>ROW()</f>
        <v>146</v>
      </c>
      <c r="C146" s="219" t="s">
        <v>429</v>
      </c>
      <c r="D146" s="219" t="s">
        <v>443</v>
      </c>
      <c r="E146" s="100"/>
      <c r="F146" s="160">
        <f>F144-F145</f>
        <v>0</v>
      </c>
      <c r="G146" s="160">
        <f t="shared" ref="G146" si="16">G144-G145</f>
        <v>0</v>
      </c>
      <c r="H146" s="160">
        <f t="shared" ref="H146" si="17">H144-H145</f>
        <v>0</v>
      </c>
    </row>
    <row r="147" spans="1:8">
      <c r="B147" s="45" t="s">
        <v>444</v>
      </c>
      <c r="E147" s="246"/>
      <c r="F147" s="70"/>
      <c r="G147" s="70"/>
      <c r="H147" s="70"/>
    </row>
  </sheetData>
  <phoneticPr fontId="12" type="noConversion"/>
  <dataValidations count="1">
    <dataValidation type="list" allowBlank="1" showInputMessage="1" showErrorMessage="1" sqref="E24:E113" xr:uid="{128CC8EE-EC60-4107-8401-C00DBE239E53}">
      <formula1>"[Select one],Causal Relationship,Proxy Cost Allocator"</formula1>
    </dataValidation>
  </dataValidations>
  <pageMargins left="0.25" right="0.25" top="0.75" bottom="0.75" header="0.3" footer="0.3"/>
  <pageSetup paperSize="9" scale="65" fitToHeight="0" orientation="portrait" r:id="rId1"/>
  <ignoredErrors>
    <ignoredError sqref="H8:I20" formula="1"/>
  </ignoredErrors>
  <tableParts count="3">
    <tablePart r:id="rId2"/>
    <tablePart r:id="rId3"/>
    <tablePart r:id="rId4"/>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4EE87-1C30-4386-9E9D-52B839732E59}">
  <sheetPr>
    <pageSetUpPr fitToPage="1"/>
  </sheetPr>
  <dimension ref="A1:J141"/>
  <sheetViews>
    <sheetView showGridLines="0" view="pageBreakPreview" topLeftCell="B1" zoomScaleNormal="100" zoomScaleSheetLayoutView="100" workbookViewId="0">
      <selection activeCell="B19" sqref="B19"/>
    </sheetView>
  </sheetViews>
  <sheetFormatPr defaultRowHeight="14.5"/>
  <cols>
    <col min="1" max="1" width="33.453125" hidden="1" customWidth="1"/>
    <col min="2" max="2" width="9.26953125" bestFit="1" customWidth="1"/>
    <col min="3" max="3" width="36.26953125" bestFit="1" customWidth="1"/>
    <col min="4" max="4" width="30.7265625" bestFit="1" customWidth="1"/>
    <col min="5" max="5" width="31.54296875" customWidth="1"/>
    <col min="6" max="6" width="19.453125" bestFit="1" customWidth="1"/>
    <col min="7" max="7" width="21.7265625" customWidth="1"/>
    <col min="8" max="8" width="20.54296875" customWidth="1"/>
    <col min="9" max="9" width="15.7265625" bestFit="1" customWidth="1"/>
    <col min="10" max="10" width="15.453125" bestFit="1" customWidth="1"/>
  </cols>
  <sheetData>
    <row r="1" spans="1:10" ht="23.5">
      <c r="B1" s="53" t="str">
        <f>_company_name&amp;"    |     Pricing period starting year - "&amp;TEXT(_pp_starting_year,"dd mmmm yyyy")&amp;"    |     Disclosure year - "&amp;TEXT(_dy_year_ended,"yyyy")</f>
        <v>[select name of the airport]    |     Pricing period starting year - 30 June 2023    |     Disclosure year - 2026</v>
      </c>
    </row>
    <row r="2" spans="1:10" ht="20.65" customHeight="1"/>
    <row r="3" spans="1:10" ht="23.5">
      <c r="B3" s="1" t="s">
        <v>445</v>
      </c>
      <c r="D3" s="15"/>
      <c r="E3" s="15"/>
    </row>
    <row r="4" spans="1:10" ht="21">
      <c r="B4" s="3" t="s">
        <v>446</v>
      </c>
      <c r="D4" s="15"/>
      <c r="E4" s="15"/>
    </row>
    <row r="5" spans="1:10" ht="43.5">
      <c r="A5" s="221" t="s">
        <v>80</v>
      </c>
      <c r="B5" s="222" t="s">
        <v>81</v>
      </c>
      <c r="C5" s="5" t="s">
        <v>83</v>
      </c>
      <c r="D5" s="6" t="s">
        <v>151</v>
      </c>
      <c r="E5" s="17" t="s">
        <v>447</v>
      </c>
      <c r="F5" s="17" t="s">
        <v>448</v>
      </c>
      <c r="G5" s="17" t="s">
        <v>449</v>
      </c>
      <c r="H5" s="17" t="s">
        <v>450</v>
      </c>
      <c r="I5" s="17" t="s">
        <v>451</v>
      </c>
      <c r="J5" s="17" t="s">
        <v>417</v>
      </c>
    </row>
    <row r="6" spans="1:10">
      <c r="A6" s="215" t="s">
        <v>446</v>
      </c>
      <c r="B6" s="215">
        <f>ROW()</f>
        <v>6</v>
      </c>
      <c r="C6" s="220" t="s">
        <v>452</v>
      </c>
      <c r="D6" s="220" t="s">
        <v>453</v>
      </c>
      <c r="E6" s="54"/>
      <c r="F6" s="54"/>
      <c r="G6" s="54"/>
      <c r="H6" s="47">
        <f>E6+F6+G6</f>
        <v>0</v>
      </c>
      <c r="I6" s="39"/>
      <c r="J6" s="47">
        <f>H6</f>
        <v>0</v>
      </c>
    </row>
    <row r="7" spans="1:10">
      <c r="A7" s="215" t="s">
        <v>446</v>
      </c>
      <c r="B7" s="215">
        <f>ROW()</f>
        <v>7</v>
      </c>
      <c r="C7" s="220" t="s">
        <v>452</v>
      </c>
      <c r="D7" s="220" t="s">
        <v>454</v>
      </c>
      <c r="E7" s="54"/>
      <c r="F7" s="54"/>
      <c r="G7" s="54"/>
      <c r="H7" s="47">
        <f t="shared" ref="H7:H11" si="0">E7+F7+G7</f>
        <v>0</v>
      </c>
      <c r="I7" s="54"/>
      <c r="J7" s="47">
        <f>H7+I7</f>
        <v>0</v>
      </c>
    </row>
    <row r="8" spans="1:10">
      <c r="A8" s="215" t="s">
        <v>446</v>
      </c>
      <c r="B8" s="215">
        <f>ROW()</f>
        <v>8</v>
      </c>
      <c r="C8" s="220" t="s">
        <v>455</v>
      </c>
      <c r="D8" s="220" t="s">
        <v>453</v>
      </c>
      <c r="E8" s="54"/>
      <c r="F8" s="54"/>
      <c r="G8" s="54"/>
      <c r="H8" s="47">
        <f t="shared" si="0"/>
        <v>0</v>
      </c>
      <c r="I8" s="39"/>
      <c r="J8" s="47">
        <f>H8</f>
        <v>0</v>
      </c>
    </row>
    <row r="9" spans="1:10">
      <c r="A9" s="215" t="s">
        <v>446</v>
      </c>
      <c r="B9" s="215">
        <f>ROW()</f>
        <v>9</v>
      </c>
      <c r="C9" s="220" t="s">
        <v>455</v>
      </c>
      <c r="D9" s="220" t="s">
        <v>454</v>
      </c>
      <c r="E9" s="54"/>
      <c r="F9" s="54"/>
      <c r="G9" s="54"/>
      <c r="H9" s="47">
        <f t="shared" si="0"/>
        <v>0</v>
      </c>
      <c r="I9" s="54"/>
      <c r="J9" s="47">
        <f>H9+I9</f>
        <v>0</v>
      </c>
    </row>
    <row r="10" spans="1:10">
      <c r="A10" s="215" t="s">
        <v>446</v>
      </c>
      <c r="B10" s="215">
        <f>ROW()</f>
        <v>10</v>
      </c>
      <c r="C10" s="220" t="s">
        <v>456</v>
      </c>
      <c r="D10" s="220" t="s">
        <v>453</v>
      </c>
      <c r="E10" s="54"/>
      <c r="F10" s="54"/>
      <c r="G10" s="54"/>
      <c r="H10" s="47">
        <f t="shared" si="0"/>
        <v>0</v>
      </c>
      <c r="I10" s="39"/>
      <c r="J10" s="47">
        <f>H10</f>
        <v>0</v>
      </c>
    </row>
    <row r="11" spans="1:10">
      <c r="A11" s="215" t="s">
        <v>446</v>
      </c>
      <c r="B11" s="215">
        <f>ROW()</f>
        <v>11</v>
      </c>
      <c r="C11" s="220" t="s">
        <v>456</v>
      </c>
      <c r="D11" s="220" t="s">
        <v>454</v>
      </c>
      <c r="E11" s="54"/>
      <c r="F11" s="54"/>
      <c r="G11" s="54"/>
      <c r="H11" s="47">
        <f t="shared" si="0"/>
        <v>0</v>
      </c>
      <c r="I11" s="54"/>
      <c r="J11" s="47">
        <f>H11+I11</f>
        <v>0</v>
      </c>
    </row>
    <row r="12" spans="1:10">
      <c r="A12" s="215" t="s">
        <v>446</v>
      </c>
      <c r="B12" s="215">
        <f>ROW()</f>
        <v>12</v>
      </c>
      <c r="C12" s="219" t="s">
        <v>423</v>
      </c>
      <c r="D12" s="219" t="s">
        <v>453</v>
      </c>
      <c r="E12" s="47">
        <f>E6+E8+E10</f>
        <v>0</v>
      </c>
      <c r="F12" s="47">
        <f t="shared" ref="F12:G12" si="1">F6+F8+F10</f>
        <v>0</v>
      </c>
      <c r="G12" s="47">
        <f t="shared" si="1"/>
        <v>0</v>
      </c>
      <c r="H12" s="47">
        <f>H6+H8+H10</f>
        <v>0</v>
      </c>
      <c r="I12" s="39"/>
      <c r="J12" s="47">
        <f>J6+J8+J10</f>
        <v>0</v>
      </c>
    </row>
    <row r="13" spans="1:10">
      <c r="A13" s="215" t="s">
        <v>446</v>
      </c>
      <c r="B13" s="215">
        <f>ROW()</f>
        <v>13</v>
      </c>
      <c r="C13" s="219" t="s">
        <v>423</v>
      </c>
      <c r="D13" s="219" t="s">
        <v>454</v>
      </c>
      <c r="E13" s="47">
        <f>E7+E9+E11</f>
        <v>0</v>
      </c>
      <c r="F13" s="47">
        <f t="shared" ref="F13:G13" si="2">F7+F9+F11</f>
        <v>0</v>
      </c>
      <c r="G13" s="47">
        <f t="shared" si="2"/>
        <v>0</v>
      </c>
      <c r="H13" s="47">
        <f>H7+H9+H11</f>
        <v>0</v>
      </c>
      <c r="I13" s="47">
        <f>I7+I9+I11</f>
        <v>0</v>
      </c>
      <c r="J13" s="47">
        <f>J7+J9+J11</f>
        <v>0</v>
      </c>
    </row>
    <row r="14" spans="1:10">
      <c r="A14" s="215" t="s">
        <v>446</v>
      </c>
      <c r="B14" s="215">
        <f>ROW()</f>
        <v>14</v>
      </c>
      <c r="C14" s="219" t="s">
        <v>423</v>
      </c>
      <c r="D14" s="219" t="s">
        <v>457</v>
      </c>
      <c r="E14" s="47">
        <f>E12+E13</f>
        <v>0</v>
      </c>
      <c r="F14" s="47">
        <f t="shared" ref="F14:G14" si="3">F12+F13</f>
        <v>0</v>
      </c>
      <c r="G14" s="47">
        <f t="shared" si="3"/>
        <v>0</v>
      </c>
      <c r="H14" s="47">
        <f>H12+H13</f>
        <v>0</v>
      </c>
      <c r="I14" s="47">
        <f>I13</f>
        <v>0</v>
      </c>
      <c r="J14" s="47">
        <f>J12+J13</f>
        <v>0</v>
      </c>
    </row>
    <row r="16" spans="1:10" ht="21">
      <c r="B16" s="3" t="s">
        <v>458</v>
      </c>
      <c r="D16" s="15"/>
      <c r="E16" s="15"/>
    </row>
    <row r="17" spans="1:7" ht="29">
      <c r="A17" s="221" t="s">
        <v>80</v>
      </c>
      <c r="B17" s="222" t="s">
        <v>81</v>
      </c>
      <c r="C17" s="5" t="s">
        <v>459</v>
      </c>
      <c r="D17" s="6" t="s">
        <v>427</v>
      </c>
      <c r="E17" s="17" t="s">
        <v>428</v>
      </c>
      <c r="F17" s="17" t="s">
        <v>429</v>
      </c>
      <c r="G17" s="17" t="s">
        <v>460</v>
      </c>
    </row>
    <row r="18" spans="1:7">
      <c r="A18" s="215" t="s">
        <v>458</v>
      </c>
      <c r="B18" s="215">
        <f>ROW()</f>
        <v>18</v>
      </c>
      <c r="C18" s="100"/>
      <c r="D18" s="100"/>
      <c r="E18" s="100" t="s">
        <v>409</v>
      </c>
      <c r="F18" s="100"/>
      <c r="G18" s="100"/>
    </row>
    <row r="19" spans="1:7">
      <c r="A19" s="215" t="s">
        <v>458</v>
      </c>
      <c r="B19" s="215">
        <f>ROW()</f>
        <v>19</v>
      </c>
      <c r="C19" s="100"/>
      <c r="D19" s="100"/>
      <c r="E19" s="100" t="s">
        <v>409</v>
      </c>
      <c r="F19" s="100"/>
      <c r="G19" s="100"/>
    </row>
    <row r="20" spans="1:7">
      <c r="A20" s="215" t="s">
        <v>458</v>
      </c>
      <c r="B20" s="215">
        <f>ROW()</f>
        <v>20</v>
      </c>
      <c r="C20" s="100"/>
      <c r="D20" s="100"/>
      <c r="E20" s="100" t="s">
        <v>409</v>
      </c>
      <c r="F20" s="100"/>
      <c r="G20" s="100"/>
    </row>
    <row r="21" spans="1:7">
      <c r="A21" s="215" t="s">
        <v>458</v>
      </c>
      <c r="B21" s="215">
        <f>ROW()</f>
        <v>21</v>
      </c>
      <c r="C21" s="100"/>
      <c r="D21" s="100"/>
      <c r="E21" s="100" t="s">
        <v>409</v>
      </c>
      <c r="F21" s="100"/>
      <c r="G21" s="100"/>
    </row>
    <row r="22" spans="1:7">
      <c r="A22" s="215" t="s">
        <v>458</v>
      </c>
      <c r="B22" s="215">
        <f>ROW()</f>
        <v>22</v>
      </c>
      <c r="C22" s="100"/>
      <c r="D22" s="100"/>
      <c r="E22" s="100" t="s">
        <v>409</v>
      </c>
      <c r="F22" s="100"/>
      <c r="G22" s="100"/>
    </row>
    <row r="23" spans="1:7">
      <c r="A23" s="215" t="s">
        <v>458</v>
      </c>
      <c r="B23" s="215">
        <f>ROW()</f>
        <v>23</v>
      </c>
      <c r="C23" s="100"/>
      <c r="D23" s="100"/>
      <c r="E23" s="100" t="s">
        <v>409</v>
      </c>
      <c r="F23" s="100"/>
      <c r="G23" s="100"/>
    </row>
    <row r="24" spans="1:7">
      <c r="A24" s="215" t="s">
        <v>458</v>
      </c>
      <c r="B24" s="215">
        <f>ROW()</f>
        <v>24</v>
      </c>
      <c r="C24" s="100"/>
      <c r="D24" s="100"/>
      <c r="E24" s="100" t="s">
        <v>409</v>
      </c>
      <c r="F24" s="100"/>
      <c r="G24" s="100"/>
    </row>
    <row r="25" spans="1:7">
      <c r="A25" s="215" t="s">
        <v>458</v>
      </c>
      <c r="B25" s="215">
        <f>ROW()</f>
        <v>25</v>
      </c>
      <c r="C25" s="100"/>
      <c r="D25" s="100"/>
      <c r="E25" s="100" t="s">
        <v>409</v>
      </c>
      <c r="F25" s="100"/>
      <c r="G25" s="100"/>
    </row>
    <row r="26" spans="1:7">
      <c r="A26" s="215" t="s">
        <v>458</v>
      </c>
      <c r="B26" s="215">
        <f>ROW()</f>
        <v>26</v>
      </c>
      <c r="C26" s="100"/>
      <c r="D26" s="100"/>
      <c r="E26" s="100" t="s">
        <v>409</v>
      </c>
      <c r="F26" s="100"/>
      <c r="G26" s="100"/>
    </row>
    <row r="27" spans="1:7">
      <c r="A27" s="215" t="s">
        <v>458</v>
      </c>
      <c r="B27" s="215">
        <f>ROW()</f>
        <v>27</v>
      </c>
      <c r="C27" s="100"/>
      <c r="D27" s="100"/>
      <c r="E27" s="100" t="s">
        <v>409</v>
      </c>
      <c r="F27" s="100"/>
      <c r="G27" s="100"/>
    </row>
    <row r="28" spans="1:7">
      <c r="A28" s="215" t="s">
        <v>458</v>
      </c>
      <c r="B28" s="215">
        <f>ROW()</f>
        <v>28</v>
      </c>
      <c r="C28" s="100"/>
      <c r="D28" s="100"/>
      <c r="E28" s="100" t="s">
        <v>409</v>
      </c>
      <c r="F28" s="100"/>
      <c r="G28" s="100"/>
    </row>
    <row r="29" spans="1:7">
      <c r="A29" s="215" t="s">
        <v>458</v>
      </c>
      <c r="B29" s="215">
        <f>ROW()</f>
        <v>29</v>
      </c>
      <c r="C29" s="100"/>
      <c r="D29" s="100"/>
      <c r="E29" s="100" t="s">
        <v>409</v>
      </c>
      <c r="F29" s="100"/>
      <c r="G29" s="100"/>
    </row>
    <row r="30" spans="1:7">
      <c r="A30" s="215" t="s">
        <v>458</v>
      </c>
      <c r="B30" s="215">
        <f>ROW()</f>
        <v>30</v>
      </c>
      <c r="C30" s="100"/>
      <c r="D30" s="100"/>
      <c r="E30" s="100" t="s">
        <v>409</v>
      </c>
      <c r="F30" s="100"/>
      <c r="G30" s="100"/>
    </row>
    <row r="31" spans="1:7">
      <c r="A31" s="215" t="s">
        <v>458</v>
      </c>
      <c r="B31" s="215">
        <f>ROW()</f>
        <v>31</v>
      </c>
      <c r="C31" s="100"/>
      <c r="D31" s="100"/>
      <c r="E31" s="100" t="s">
        <v>409</v>
      </c>
      <c r="F31" s="100"/>
      <c r="G31" s="100"/>
    </row>
    <row r="32" spans="1:7">
      <c r="A32" s="215" t="s">
        <v>458</v>
      </c>
      <c r="B32" s="215">
        <f>ROW()</f>
        <v>32</v>
      </c>
      <c r="C32" s="100"/>
      <c r="D32" s="100"/>
      <c r="E32" s="100" t="s">
        <v>409</v>
      </c>
      <c r="F32" s="100"/>
      <c r="G32" s="100"/>
    </row>
    <row r="33" spans="1:7">
      <c r="A33" s="215" t="s">
        <v>458</v>
      </c>
      <c r="B33" s="215">
        <f>ROW()</f>
        <v>33</v>
      </c>
      <c r="C33" s="100"/>
      <c r="D33" s="100"/>
      <c r="E33" s="100" t="s">
        <v>409</v>
      </c>
      <c r="F33" s="100"/>
      <c r="G33" s="100"/>
    </row>
    <row r="34" spans="1:7">
      <c r="A34" s="215" t="s">
        <v>458</v>
      </c>
      <c r="B34" s="215">
        <f>ROW()</f>
        <v>34</v>
      </c>
      <c r="C34" s="100"/>
      <c r="D34" s="100"/>
      <c r="E34" s="100" t="s">
        <v>409</v>
      </c>
      <c r="F34" s="100"/>
      <c r="G34" s="100"/>
    </row>
    <row r="35" spans="1:7">
      <c r="A35" s="215" t="s">
        <v>458</v>
      </c>
      <c r="B35" s="215">
        <f>ROW()</f>
        <v>35</v>
      </c>
      <c r="C35" s="100"/>
      <c r="D35" s="100"/>
      <c r="E35" s="100" t="s">
        <v>409</v>
      </c>
      <c r="F35" s="100"/>
      <c r="G35" s="100"/>
    </row>
    <row r="36" spans="1:7">
      <c r="A36" s="215" t="s">
        <v>458</v>
      </c>
      <c r="B36" s="215">
        <f>ROW()</f>
        <v>36</v>
      </c>
      <c r="C36" s="100"/>
      <c r="D36" s="100"/>
      <c r="E36" s="100" t="s">
        <v>409</v>
      </c>
      <c r="F36" s="100"/>
      <c r="G36" s="100"/>
    </row>
    <row r="37" spans="1:7">
      <c r="A37" s="215" t="s">
        <v>458</v>
      </c>
      <c r="B37" s="215">
        <f>ROW()</f>
        <v>37</v>
      </c>
      <c r="C37" s="100"/>
      <c r="D37" s="100"/>
      <c r="E37" s="100" t="s">
        <v>409</v>
      </c>
      <c r="F37" s="100"/>
      <c r="G37" s="100"/>
    </row>
    <row r="38" spans="1:7">
      <c r="A38" s="215" t="s">
        <v>458</v>
      </c>
      <c r="B38" s="215">
        <f>ROW()</f>
        <v>38</v>
      </c>
      <c r="C38" s="100"/>
      <c r="D38" s="100"/>
      <c r="E38" s="100" t="s">
        <v>409</v>
      </c>
      <c r="F38" s="100"/>
      <c r="G38" s="100"/>
    </row>
    <row r="39" spans="1:7">
      <c r="A39" s="215" t="s">
        <v>458</v>
      </c>
      <c r="B39" s="215">
        <f>ROW()</f>
        <v>39</v>
      </c>
      <c r="C39" s="100"/>
      <c r="D39" s="100"/>
      <c r="E39" s="100" t="s">
        <v>409</v>
      </c>
      <c r="F39" s="100"/>
      <c r="G39" s="100"/>
    </row>
    <row r="40" spans="1:7">
      <c r="A40" s="215" t="s">
        <v>458</v>
      </c>
      <c r="B40" s="215">
        <f>ROW()</f>
        <v>40</v>
      </c>
      <c r="C40" s="100"/>
      <c r="D40" s="100"/>
      <c r="E40" s="100" t="s">
        <v>409</v>
      </c>
      <c r="F40" s="100"/>
      <c r="G40" s="100"/>
    </row>
    <row r="41" spans="1:7">
      <c r="A41" s="215" t="s">
        <v>458</v>
      </c>
      <c r="B41" s="215">
        <f>ROW()</f>
        <v>41</v>
      </c>
      <c r="C41" s="100"/>
      <c r="D41" s="100"/>
      <c r="E41" s="100" t="s">
        <v>409</v>
      </c>
      <c r="F41" s="100"/>
      <c r="G41" s="100"/>
    </row>
    <row r="42" spans="1:7">
      <c r="A42" s="215" t="s">
        <v>458</v>
      </c>
      <c r="B42" s="215">
        <f>ROW()</f>
        <v>42</v>
      </c>
      <c r="C42" s="100"/>
      <c r="D42" s="100"/>
      <c r="E42" s="100" t="s">
        <v>409</v>
      </c>
      <c r="F42" s="100"/>
      <c r="G42" s="100"/>
    </row>
    <row r="43" spans="1:7">
      <c r="A43" s="215" t="s">
        <v>458</v>
      </c>
      <c r="B43" s="215">
        <f>ROW()</f>
        <v>43</v>
      </c>
      <c r="C43" s="100"/>
      <c r="D43" s="100"/>
      <c r="E43" s="100" t="s">
        <v>409</v>
      </c>
      <c r="F43" s="100"/>
      <c r="G43" s="100"/>
    </row>
    <row r="44" spans="1:7">
      <c r="A44" s="215" t="s">
        <v>458</v>
      </c>
      <c r="B44" s="215">
        <f>ROW()</f>
        <v>44</v>
      </c>
      <c r="C44" s="100"/>
      <c r="D44" s="100"/>
      <c r="E44" s="100" t="s">
        <v>409</v>
      </c>
      <c r="F44" s="100"/>
      <c r="G44" s="100"/>
    </row>
    <row r="45" spans="1:7">
      <c r="A45" s="215" t="s">
        <v>458</v>
      </c>
      <c r="B45" s="215">
        <f>ROW()</f>
        <v>45</v>
      </c>
      <c r="C45" s="100"/>
      <c r="D45" s="100"/>
      <c r="E45" s="100" t="s">
        <v>409</v>
      </c>
      <c r="F45" s="100"/>
      <c r="G45" s="100"/>
    </row>
    <row r="46" spans="1:7">
      <c r="A46" s="215" t="s">
        <v>458</v>
      </c>
      <c r="B46" s="215">
        <f>ROW()</f>
        <v>46</v>
      </c>
      <c r="C46" s="100"/>
      <c r="D46" s="100"/>
      <c r="E46" s="100" t="s">
        <v>409</v>
      </c>
      <c r="F46" s="100"/>
      <c r="G46" s="100"/>
    </row>
    <row r="47" spans="1:7">
      <c r="A47" s="215" t="s">
        <v>458</v>
      </c>
      <c r="B47" s="215">
        <f>ROW()</f>
        <v>47</v>
      </c>
      <c r="C47" s="100"/>
      <c r="D47" s="100"/>
      <c r="E47" s="100" t="s">
        <v>409</v>
      </c>
      <c r="F47" s="100"/>
      <c r="G47" s="100"/>
    </row>
    <row r="48" spans="1:7">
      <c r="A48" s="215" t="s">
        <v>458</v>
      </c>
      <c r="B48" s="215">
        <f>ROW()</f>
        <v>48</v>
      </c>
      <c r="C48" s="100"/>
      <c r="D48" s="100"/>
      <c r="E48" s="100" t="s">
        <v>409</v>
      </c>
      <c r="F48" s="100"/>
      <c r="G48" s="100"/>
    </row>
    <row r="49" spans="1:7">
      <c r="A49" s="215" t="s">
        <v>458</v>
      </c>
      <c r="B49" s="215">
        <f>ROW()</f>
        <v>49</v>
      </c>
      <c r="C49" s="100"/>
      <c r="D49" s="100"/>
      <c r="E49" s="100" t="s">
        <v>409</v>
      </c>
      <c r="F49" s="100"/>
      <c r="G49" s="100"/>
    </row>
    <row r="50" spans="1:7">
      <c r="A50" s="215" t="s">
        <v>458</v>
      </c>
      <c r="B50" s="215">
        <f>ROW()</f>
        <v>50</v>
      </c>
      <c r="C50" s="100"/>
      <c r="D50" s="100"/>
      <c r="E50" s="100" t="s">
        <v>409</v>
      </c>
      <c r="F50" s="100"/>
      <c r="G50" s="100"/>
    </row>
    <row r="51" spans="1:7">
      <c r="A51" s="215" t="s">
        <v>458</v>
      </c>
      <c r="B51" s="215">
        <f>ROW()</f>
        <v>51</v>
      </c>
      <c r="C51" s="100"/>
      <c r="D51" s="100"/>
      <c r="E51" s="100" t="s">
        <v>409</v>
      </c>
      <c r="F51" s="100"/>
      <c r="G51" s="100"/>
    </row>
    <row r="52" spans="1:7">
      <c r="A52" s="215" t="s">
        <v>458</v>
      </c>
      <c r="B52" s="215">
        <f>ROW()</f>
        <v>52</v>
      </c>
      <c r="C52" s="100"/>
      <c r="D52" s="100"/>
      <c r="E52" s="100" t="s">
        <v>409</v>
      </c>
      <c r="F52" s="100"/>
      <c r="G52" s="100"/>
    </row>
    <row r="53" spans="1:7">
      <c r="A53" s="215" t="s">
        <v>458</v>
      </c>
      <c r="B53" s="215">
        <f>ROW()</f>
        <v>53</v>
      </c>
      <c r="C53" s="100"/>
      <c r="D53" s="100"/>
      <c r="E53" s="100" t="s">
        <v>409</v>
      </c>
      <c r="F53" s="100"/>
      <c r="G53" s="100"/>
    </row>
    <row r="54" spans="1:7">
      <c r="A54" s="215" t="s">
        <v>458</v>
      </c>
      <c r="B54" s="215">
        <f>ROW()</f>
        <v>54</v>
      </c>
      <c r="C54" s="100"/>
      <c r="D54" s="100"/>
      <c r="E54" s="100" t="s">
        <v>409</v>
      </c>
      <c r="F54" s="100"/>
      <c r="G54" s="100"/>
    </row>
    <row r="55" spans="1:7">
      <c r="A55" s="215" t="s">
        <v>458</v>
      </c>
      <c r="B55" s="215">
        <f>ROW()</f>
        <v>55</v>
      </c>
      <c r="C55" s="100"/>
      <c r="D55" s="100"/>
      <c r="E55" s="100" t="s">
        <v>409</v>
      </c>
      <c r="F55" s="100"/>
      <c r="G55" s="100"/>
    </row>
    <row r="56" spans="1:7">
      <c r="A56" s="215" t="s">
        <v>458</v>
      </c>
      <c r="B56" s="215">
        <f>ROW()</f>
        <v>56</v>
      </c>
      <c r="C56" s="100"/>
      <c r="D56" s="100"/>
      <c r="E56" s="100" t="s">
        <v>409</v>
      </c>
      <c r="F56" s="100"/>
      <c r="G56" s="100"/>
    </row>
    <row r="57" spans="1:7">
      <c r="A57" s="215" t="s">
        <v>458</v>
      </c>
      <c r="B57" s="215">
        <f>ROW()</f>
        <v>57</v>
      </c>
      <c r="C57" s="100"/>
      <c r="D57" s="100"/>
      <c r="E57" s="100" t="s">
        <v>409</v>
      </c>
      <c r="F57" s="100"/>
      <c r="G57" s="100"/>
    </row>
    <row r="58" spans="1:7">
      <c r="A58" s="215" t="s">
        <v>458</v>
      </c>
      <c r="B58" s="215">
        <f>ROW()</f>
        <v>58</v>
      </c>
      <c r="C58" s="100"/>
      <c r="D58" s="100"/>
      <c r="E58" s="100" t="s">
        <v>409</v>
      </c>
      <c r="F58" s="100"/>
      <c r="G58" s="100"/>
    </row>
    <row r="59" spans="1:7">
      <c r="A59" s="215" t="s">
        <v>458</v>
      </c>
      <c r="B59" s="215">
        <f>ROW()</f>
        <v>59</v>
      </c>
      <c r="C59" s="100"/>
      <c r="D59" s="100"/>
      <c r="E59" s="100" t="s">
        <v>409</v>
      </c>
      <c r="F59" s="100"/>
      <c r="G59" s="100"/>
    </row>
    <row r="60" spans="1:7">
      <c r="A60" s="215" t="s">
        <v>458</v>
      </c>
      <c r="B60" s="215">
        <f>ROW()</f>
        <v>60</v>
      </c>
      <c r="C60" s="100"/>
      <c r="D60" s="100"/>
      <c r="E60" s="100" t="s">
        <v>409</v>
      </c>
      <c r="F60" s="100"/>
      <c r="G60" s="100"/>
    </row>
    <row r="61" spans="1:7">
      <c r="A61" s="215" t="s">
        <v>458</v>
      </c>
      <c r="B61" s="215">
        <f>ROW()</f>
        <v>61</v>
      </c>
      <c r="C61" s="100"/>
      <c r="D61" s="100"/>
      <c r="E61" s="100" t="s">
        <v>409</v>
      </c>
      <c r="F61" s="100"/>
      <c r="G61" s="100"/>
    </row>
    <row r="62" spans="1:7">
      <c r="A62" s="215" t="s">
        <v>458</v>
      </c>
      <c r="B62" s="215">
        <f>ROW()</f>
        <v>62</v>
      </c>
      <c r="C62" s="100"/>
      <c r="D62" s="100"/>
      <c r="E62" s="100" t="s">
        <v>409</v>
      </c>
      <c r="F62" s="100"/>
      <c r="G62" s="100"/>
    </row>
    <row r="63" spans="1:7">
      <c r="A63" s="215" t="s">
        <v>458</v>
      </c>
      <c r="B63" s="215">
        <f>ROW()</f>
        <v>63</v>
      </c>
      <c r="C63" s="100"/>
      <c r="D63" s="100"/>
      <c r="E63" s="100" t="s">
        <v>409</v>
      </c>
      <c r="F63" s="100"/>
      <c r="G63" s="100"/>
    </row>
    <row r="64" spans="1:7">
      <c r="A64" s="215" t="s">
        <v>458</v>
      </c>
      <c r="B64" s="215">
        <f>ROW()</f>
        <v>64</v>
      </c>
      <c r="C64" s="100"/>
      <c r="D64" s="100"/>
      <c r="E64" s="100" t="s">
        <v>409</v>
      </c>
      <c r="F64" s="100"/>
      <c r="G64" s="100"/>
    </row>
    <row r="65" spans="1:7">
      <c r="A65" s="215" t="s">
        <v>458</v>
      </c>
      <c r="B65" s="215">
        <f>ROW()</f>
        <v>65</v>
      </c>
      <c r="C65" s="100"/>
      <c r="D65" s="100"/>
      <c r="E65" s="100" t="s">
        <v>409</v>
      </c>
      <c r="F65" s="100"/>
      <c r="G65" s="100"/>
    </row>
    <row r="66" spans="1:7">
      <c r="A66" s="215" t="s">
        <v>458</v>
      </c>
      <c r="B66" s="215">
        <f>ROW()</f>
        <v>66</v>
      </c>
      <c r="C66" s="100"/>
      <c r="D66" s="100"/>
      <c r="E66" s="100" t="s">
        <v>409</v>
      </c>
      <c r="F66" s="100"/>
      <c r="G66" s="100"/>
    </row>
    <row r="67" spans="1:7">
      <c r="A67" s="215" t="s">
        <v>458</v>
      </c>
      <c r="B67" s="215">
        <f>ROW()</f>
        <v>67</v>
      </c>
      <c r="C67" s="100"/>
      <c r="D67" s="100"/>
      <c r="E67" s="100" t="s">
        <v>409</v>
      </c>
      <c r="F67" s="100"/>
      <c r="G67" s="100"/>
    </row>
    <row r="68" spans="1:7">
      <c r="A68" s="215" t="s">
        <v>458</v>
      </c>
      <c r="B68" s="215">
        <f>ROW()</f>
        <v>68</v>
      </c>
      <c r="C68" s="100"/>
      <c r="D68" s="100"/>
      <c r="E68" s="100" t="s">
        <v>409</v>
      </c>
      <c r="F68" s="100"/>
      <c r="G68" s="100"/>
    </row>
    <row r="69" spans="1:7">
      <c r="A69" s="215" t="s">
        <v>458</v>
      </c>
      <c r="B69" s="215">
        <f>ROW()</f>
        <v>69</v>
      </c>
      <c r="C69" s="100"/>
      <c r="D69" s="100"/>
      <c r="E69" s="100" t="s">
        <v>409</v>
      </c>
      <c r="F69" s="100"/>
      <c r="G69" s="100"/>
    </row>
    <row r="70" spans="1:7">
      <c r="A70" s="215" t="s">
        <v>458</v>
      </c>
      <c r="B70" s="215">
        <f>ROW()</f>
        <v>70</v>
      </c>
      <c r="C70" s="100"/>
      <c r="D70" s="100"/>
      <c r="E70" s="100" t="s">
        <v>409</v>
      </c>
      <c r="F70" s="100"/>
      <c r="G70" s="100"/>
    </row>
    <row r="71" spans="1:7">
      <c r="A71" s="215" t="s">
        <v>458</v>
      </c>
      <c r="B71" s="215">
        <f>ROW()</f>
        <v>71</v>
      </c>
      <c r="C71" s="100"/>
      <c r="D71" s="100"/>
      <c r="E71" s="100" t="s">
        <v>409</v>
      </c>
      <c r="F71" s="100"/>
      <c r="G71" s="100"/>
    </row>
    <row r="72" spans="1:7">
      <c r="A72" s="215" t="s">
        <v>458</v>
      </c>
      <c r="B72" s="215">
        <f>ROW()</f>
        <v>72</v>
      </c>
      <c r="C72" s="100"/>
      <c r="D72" s="100"/>
      <c r="E72" s="100" t="s">
        <v>409</v>
      </c>
      <c r="F72" s="100"/>
      <c r="G72" s="100"/>
    </row>
    <row r="73" spans="1:7">
      <c r="A73" s="215" t="s">
        <v>458</v>
      </c>
      <c r="B73" s="215">
        <f>ROW()</f>
        <v>73</v>
      </c>
      <c r="C73" s="100"/>
      <c r="D73" s="100"/>
      <c r="E73" s="100" t="s">
        <v>409</v>
      </c>
      <c r="F73" s="100"/>
      <c r="G73" s="100"/>
    </row>
    <row r="74" spans="1:7">
      <c r="A74" s="215" t="s">
        <v>458</v>
      </c>
      <c r="B74" s="215">
        <f>ROW()</f>
        <v>74</v>
      </c>
      <c r="C74" s="100"/>
      <c r="D74" s="100"/>
      <c r="E74" s="100" t="s">
        <v>409</v>
      </c>
      <c r="F74" s="100"/>
      <c r="G74" s="100"/>
    </row>
    <row r="75" spans="1:7">
      <c r="A75" s="215" t="s">
        <v>458</v>
      </c>
      <c r="B75" s="215">
        <f>ROW()</f>
        <v>75</v>
      </c>
      <c r="C75" s="100"/>
      <c r="D75" s="100"/>
      <c r="E75" s="100" t="s">
        <v>409</v>
      </c>
      <c r="F75" s="100"/>
      <c r="G75" s="100"/>
    </row>
    <row r="76" spans="1:7">
      <c r="A76" s="215" t="s">
        <v>458</v>
      </c>
      <c r="B76" s="215">
        <f>ROW()</f>
        <v>76</v>
      </c>
      <c r="C76" s="100"/>
      <c r="D76" s="100"/>
      <c r="E76" s="100" t="s">
        <v>409</v>
      </c>
      <c r="F76" s="100"/>
      <c r="G76" s="100"/>
    </row>
    <row r="77" spans="1:7">
      <c r="A77" s="215" t="s">
        <v>458</v>
      </c>
      <c r="B77" s="215">
        <f>ROW()</f>
        <v>77</v>
      </c>
      <c r="C77" s="100"/>
      <c r="D77" s="100"/>
      <c r="E77" s="100" t="s">
        <v>409</v>
      </c>
      <c r="F77" s="100"/>
      <c r="G77" s="100"/>
    </row>
    <row r="78" spans="1:7">
      <c r="A78" s="215" t="s">
        <v>458</v>
      </c>
      <c r="B78" s="215">
        <f>ROW()</f>
        <v>78</v>
      </c>
      <c r="C78" s="100"/>
      <c r="D78" s="100"/>
      <c r="E78" s="100" t="s">
        <v>409</v>
      </c>
      <c r="F78" s="100"/>
      <c r="G78" s="100"/>
    </row>
    <row r="79" spans="1:7">
      <c r="A79" s="215" t="s">
        <v>458</v>
      </c>
      <c r="B79" s="215">
        <f>ROW()</f>
        <v>79</v>
      </c>
      <c r="C79" s="100"/>
      <c r="D79" s="100"/>
      <c r="E79" s="100" t="s">
        <v>409</v>
      </c>
      <c r="F79" s="100"/>
      <c r="G79" s="100"/>
    </row>
    <row r="80" spans="1:7">
      <c r="A80" s="215" t="s">
        <v>458</v>
      </c>
      <c r="B80" s="215">
        <f>ROW()</f>
        <v>80</v>
      </c>
      <c r="C80" s="100"/>
      <c r="D80" s="100"/>
      <c r="E80" s="100" t="s">
        <v>409</v>
      </c>
      <c r="F80" s="100"/>
      <c r="G80" s="100"/>
    </row>
    <row r="81" spans="1:7">
      <c r="A81" s="215" t="s">
        <v>458</v>
      </c>
      <c r="B81" s="215">
        <f>ROW()</f>
        <v>81</v>
      </c>
      <c r="C81" s="100"/>
      <c r="D81" s="100"/>
      <c r="E81" s="100" t="s">
        <v>409</v>
      </c>
      <c r="F81" s="100"/>
      <c r="G81" s="100"/>
    </row>
    <row r="82" spans="1:7">
      <c r="A82" s="215" t="s">
        <v>458</v>
      </c>
      <c r="B82" s="215">
        <f>ROW()</f>
        <v>82</v>
      </c>
      <c r="C82" s="100"/>
      <c r="D82" s="100"/>
      <c r="E82" s="100" t="s">
        <v>409</v>
      </c>
      <c r="F82" s="100"/>
      <c r="G82" s="100"/>
    </row>
    <row r="83" spans="1:7">
      <c r="A83" s="215" t="s">
        <v>458</v>
      </c>
      <c r="B83" s="215">
        <f>ROW()</f>
        <v>83</v>
      </c>
      <c r="C83" s="100"/>
      <c r="D83" s="100"/>
      <c r="E83" s="100" t="s">
        <v>409</v>
      </c>
      <c r="F83" s="100"/>
      <c r="G83" s="100"/>
    </row>
    <row r="84" spans="1:7">
      <c r="A84" s="215" t="s">
        <v>458</v>
      </c>
      <c r="B84" s="215">
        <f>ROW()</f>
        <v>84</v>
      </c>
      <c r="C84" s="100"/>
      <c r="D84" s="100"/>
      <c r="E84" s="100" t="s">
        <v>409</v>
      </c>
      <c r="F84" s="100"/>
      <c r="G84" s="100"/>
    </row>
    <row r="85" spans="1:7">
      <c r="A85" s="215" t="s">
        <v>458</v>
      </c>
      <c r="B85" s="215">
        <f>ROW()</f>
        <v>85</v>
      </c>
      <c r="C85" s="100"/>
      <c r="D85" s="100"/>
      <c r="E85" s="100" t="s">
        <v>409</v>
      </c>
      <c r="F85" s="100"/>
      <c r="G85" s="100"/>
    </row>
    <row r="86" spans="1:7">
      <c r="A86" s="215" t="s">
        <v>458</v>
      </c>
      <c r="B86" s="215">
        <f>ROW()</f>
        <v>86</v>
      </c>
      <c r="C86" s="100"/>
      <c r="D86" s="100"/>
      <c r="E86" s="100" t="s">
        <v>409</v>
      </c>
      <c r="F86" s="100"/>
      <c r="G86" s="100"/>
    </row>
    <row r="87" spans="1:7">
      <c r="A87" s="215" t="s">
        <v>458</v>
      </c>
      <c r="B87" s="215">
        <f>ROW()</f>
        <v>87</v>
      </c>
      <c r="C87" s="100"/>
      <c r="D87" s="100"/>
      <c r="E87" s="100" t="s">
        <v>409</v>
      </c>
      <c r="F87" s="100"/>
      <c r="G87" s="100"/>
    </row>
    <row r="88" spans="1:7">
      <c r="A88" s="215" t="s">
        <v>458</v>
      </c>
      <c r="B88" s="215">
        <f>ROW()</f>
        <v>88</v>
      </c>
      <c r="C88" s="100"/>
      <c r="D88" s="100"/>
      <c r="E88" s="100" t="s">
        <v>409</v>
      </c>
      <c r="F88" s="100"/>
      <c r="G88" s="100"/>
    </row>
    <row r="89" spans="1:7">
      <c r="A89" s="215" t="s">
        <v>458</v>
      </c>
      <c r="B89" s="215">
        <f>ROW()</f>
        <v>89</v>
      </c>
      <c r="C89" s="100"/>
      <c r="D89" s="100"/>
      <c r="E89" s="100" t="s">
        <v>409</v>
      </c>
      <c r="F89" s="100"/>
      <c r="G89" s="100"/>
    </row>
    <row r="90" spans="1:7">
      <c r="A90" s="215" t="s">
        <v>458</v>
      </c>
      <c r="B90" s="215">
        <f>ROW()</f>
        <v>90</v>
      </c>
      <c r="C90" s="100"/>
      <c r="D90" s="100"/>
      <c r="E90" s="100" t="s">
        <v>409</v>
      </c>
      <c r="F90" s="100"/>
      <c r="G90" s="100"/>
    </row>
    <row r="91" spans="1:7">
      <c r="A91" s="215" t="s">
        <v>458</v>
      </c>
      <c r="B91" s="215">
        <f>ROW()</f>
        <v>91</v>
      </c>
      <c r="C91" s="100"/>
      <c r="D91" s="100"/>
      <c r="E91" s="100" t="s">
        <v>409</v>
      </c>
      <c r="F91" s="100"/>
      <c r="G91" s="100"/>
    </row>
    <row r="92" spans="1:7">
      <c r="A92" s="215" t="s">
        <v>458</v>
      </c>
      <c r="B92" s="215">
        <f>ROW()</f>
        <v>92</v>
      </c>
      <c r="C92" s="100"/>
      <c r="D92" s="100"/>
      <c r="E92" s="100" t="s">
        <v>409</v>
      </c>
      <c r="F92" s="100"/>
      <c r="G92" s="100"/>
    </row>
    <row r="93" spans="1:7">
      <c r="A93" s="215" t="s">
        <v>458</v>
      </c>
      <c r="B93" s="215">
        <f>ROW()</f>
        <v>93</v>
      </c>
      <c r="C93" s="100"/>
      <c r="D93" s="100"/>
      <c r="E93" s="100" t="s">
        <v>409</v>
      </c>
      <c r="F93" s="100"/>
      <c r="G93" s="100"/>
    </row>
    <row r="94" spans="1:7">
      <c r="A94" s="215" t="s">
        <v>458</v>
      </c>
      <c r="B94" s="215">
        <f>ROW()</f>
        <v>94</v>
      </c>
      <c r="C94" s="100"/>
      <c r="D94" s="100"/>
      <c r="E94" s="100" t="s">
        <v>409</v>
      </c>
      <c r="F94" s="100"/>
      <c r="G94" s="100"/>
    </row>
    <row r="95" spans="1:7">
      <c r="A95" s="215" t="s">
        <v>458</v>
      </c>
      <c r="B95" s="215">
        <f>ROW()</f>
        <v>95</v>
      </c>
      <c r="C95" s="100"/>
      <c r="D95" s="100"/>
      <c r="E95" s="100" t="s">
        <v>409</v>
      </c>
      <c r="F95" s="100"/>
      <c r="G95" s="100"/>
    </row>
    <row r="96" spans="1:7">
      <c r="A96" s="215" t="s">
        <v>458</v>
      </c>
      <c r="B96" s="215">
        <f>ROW()</f>
        <v>96</v>
      </c>
      <c r="C96" s="100"/>
      <c r="D96" s="100"/>
      <c r="E96" s="100" t="s">
        <v>409</v>
      </c>
      <c r="F96" s="100"/>
      <c r="G96" s="100"/>
    </row>
    <row r="97" spans="1:8">
      <c r="A97" s="215" t="s">
        <v>458</v>
      </c>
      <c r="B97" s="215">
        <f>ROW()</f>
        <v>97</v>
      </c>
      <c r="C97" s="100"/>
      <c r="D97" s="100"/>
      <c r="E97" s="100" t="s">
        <v>409</v>
      </c>
      <c r="F97" s="100"/>
      <c r="G97" s="100"/>
    </row>
    <row r="98" spans="1:8">
      <c r="A98" s="215" t="s">
        <v>458</v>
      </c>
      <c r="B98" s="215">
        <f>ROW()</f>
        <v>98</v>
      </c>
      <c r="C98" s="100"/>
      <c r="D98" s="100"/>
      <c r="E98" s="100" t="s">
        <v>409</v>
      </c>
      <c r="F98" s="100"/>
      <c r="G98" s="100"/>
    </row>
    <row r="99" spans="1:8">
      <c r="A99" s="215" t="s">
        <v>458</v>
      </c>
      <c r="B99" s="215">
        <f>ROW()</f>
        <v>99</v>
      </c>
      <c r="C99" s="100"/>
      <c r="D99" s="100"/>
      <c r="E99" s="100" t="s">
        <v>409</v>
      </c>
      <c r="F99" s="100"/>
      <c r="G99" s="100"/>
    </row>
    <row r="100" spans="1:8">
      <c r="A100" s="215" t="s">
        <v>458</v>
      </c>
      <c r="B100" s="215">
        <f>ROW()</f>
        <v>100</v>
      </c>
      <c r="C100" s="100"/>
      <c r="D100" s="100"/>
      <c r="E100" s="100" t="s">
        <v>409</v>
      </c>
      <c r="F100" s="100"/>
      <c r="G100" s="100"/>
    </row>
    <row r="101" spans="1:8">
      <c r="A101" s="215" t="s">
        <v>458</v>
      </c>
      <c r="B101" s="215">
        <f>ROW()</f>
        <v>101</v>
      </c>
      <c r="C101" s="100"/>
      <c r="D101" s="100"/>
      <c r="E101" s="100" t="s">
        <v>409</v>
      </c>
      <c r="F101" s="100"/>
      <c r="G101" s="100"/>
    </row>
    <row r="102" spans="1:8">
      <c r="A102" s="215" t="s">
        <v>458</v>
      </c>
      <c r="B102" s="215">
        <f>ROW()</f>
        <v>102</v>
      </c>
      <c r="C102" s="100"/>
      <c r="D102" s="100"/>
      <c r="E102" s="100" t="s">
        <v>409</v>
      </c>
      <c r="F102" s="100"/>
      <c r="G102" s="100"/>
    </row>
    <row r="103" spans="1:8">
      <c r="A103" s="215" t="s">
        <v>458</v>
      </c>
      <c r="B103" s="215">
        <f>ROW()</f>
        <v>103</v>
      </c>
      <c r="C103" s="100"/>
      <c r="D103" s="100"/>
      <c r="E103" s="100" t="s">
        <v>409</v>
      </c>
      <c r="F103" s="100"/>
      <c r="G103" s="100"/>
    </row>
    <row r="104" spans="1:8">
      <c r="A104" s="215" t="s">
        <v>458</v>
      </c>
      <c r="B104" s="215">
        <f>ROW()</f>
        <v>104</v>
      </c>
      <c r="C104" s="100"/>
      <c r="D104" s="100"/>
      <c r="E104" s="100" t="s">
        <v>409</v>
      </c>
      <c r="F104" s="100"/>
      <c r="G104" s="100"/>
    </row>
    <row r="105" spans="1:8">
      <c r="A105" s="215" t="s">
        <v>458</v>
      </c>
      <c r="B105" s="215">
        <f>ROW()</f>
        <v>105</v>
      </c>
      <c r="C105" s="100"/>
      <c r="D105" s="100"/>
      <c r="E105" s="100" t="s">
        <v>409</v>
      </c>
      <c r="F105" s="100"/>
      <c r="G105" s="100"/>
    </row>
    <row r="106" spans="1:8">
      <c r="A106" s="215" t="s">
        <v>458</v>
      </c>
      <c r="B106" s="215">
        <f>ROW()</f>
        <v>106</v>
      </c>
      <c r="C106" s="100"/>
      <c r="D106" s="100"/>
      <c r="E106" s="100" t="s">
        <v>409</v>
      </c>
      <c r="F106" s="100"/>
      <c r="G106" s="100"/>
    </row>
    <row r="107" spans="1:8">
      <c r="A107" s="215" t="s">
        <v>458</v>
      </c>
      <c r="B107" s="215">
        <f>ROW()</f>
        <v>107</v>
      </c>
      <c r="C107" s="100"/>
      <c r="D107" s="100"/>
      <c r="E107" s="100" t="s">
        <v>409</v>
      </c>
      <c r="F107" s="100"/>
      <c r="G107" s="100"/>
    </row>
    <row r="110" spans="1:8" ht="21">
      <c r="B110" s="3" t="s">
        <v>461</v>
      </c>
      <c r="D110" s="15"/>
      <c r="E110" s="15"/>
    </row>
    <row r="111" spans="1:8" ht="21">
      <c r="B111" s="3" t="s">
        <v>462</v>
      </c>
      <c r="D111" s="15"/>
      <c r="E111" s="15"/>
    </row>
    <row r="112" spans="1:8" ht="29">
      <c r="A112" s="221" t="s">
        <v>80</v>
      </c>
      <c r="B112" s="222" t="s">
        <v>81</v>
      </c>
      <c r="C112" s="5" t="s">
        <v>83</v>
      </c>
      <c r="D112" s="6" t="s">
        <v>151</v>
      </c>
      <c r="E112" s="17" t="s">
        <v>434</v>
      </c>
      <c r="F112" s="17" t="s">
        <v>435</v>
      </c>
      <c r="G112" s="17" t="s">
        <v>436</v>
      </c>
      <c r="H112" s="17" t="s">
        <v>437</v>
      </c>
    </row>
    <row r="113" spans="1:8">
      <c r="A113" s="215" t="s">
        <v>462</v>
      </c>
      <c r="B113" s="215">
        <f>ROW()</f>
        <v>113</v>
      </c>
      <c r="C113" s="220" t="s">
        <v>463</v>
      </c>
      <c r="D113" s="220"/>
      <c r="E113" s="100"/>
      <c r="F113" s="39"/>
      <c r="G113" s="39"/>
      <c r="H113" s="39"/>
    </row>
    <row r="114" spans="1:8">
      <c r="A114" s="215" t="s">
        <v>462</v>
      </c>
      <c r="B114" s="215">
        <f>ROW()</f>
        <v>114</v>
      </c>
      <c r="C114" s="220" t="s">
        <v>439</v>
      </c>
      <c r="D114" s="220" t="s">
        <v>440</v>
      </c>
      <c r="E114" s="100"/>
      <c r="F114" s="54"/>
      <c r="G114" s="54"/>
      <c r="H114" s="54"/>
    </row>
    <row r="115" spans="1:8" ht="15" thickBot="1">
      <c r="A115" s="215" t="s">
        <v>462</v>
      </c>
      <c r="B115" s="215">
        <f>ROW()</f>
        <v>115</v>
      </c>
      <c r="C115" s="220" t="s">
        <v>441</v>
      </c>
      <c r="D115" s="220" t="s">
        <v>442</v>
      </c>
      <c r="E115" s="100"/>
      <c r="F115" s="54"/>
      <c r="G115" s="54"/>
      <c r="H115" s="54"/>
    </row>
    <row r="116" spans="1:8" ht="15" thickBot="1">
      <c r="A116" s="215" t="s">
        <v>462</v>
      </c>
      <c r="B116" s="215">
        <f>ROW()</f>
        <v>116</v>
      </c>
      <c r="C116" s="220" t="s">
        <v>429</v>
      </c>
      <c r="D116" s="219" t="s">
        <v>443</v>
      </c>
      <c r="E116" s="100"/>
      <c r="F116" s="156">
        <f>F114-F115</f>
        <v>0</v>
      </c>
      <c r="G116" s="156">
        <f t="shared" ref="G116:H116" si="4">G114-G115</f>
        <v>0</v>
      </c>
      <c r="H116" s="156">
        <f t="shared" si="4"/>
        <v>0</v>
      </c>
    </row>
    <row r="117" spans="1:8">
      <c r="A117" s="215" t="s">
        <v>462</v>
      </c>
      <c r="B117" s="215">
        <f>ROW()</f>
        <v>117</v>
      </c>
      <c r="C117" s="220" t="s">
        <v>463</v>
      </c>
      <c r="D117" s="220"/>
      <c r="E117" s="100" t="s">
        <v>0</v>
      </c>
      <c r="F117" s="39"/>
      <c r="G117" s="39"/>
      <c r="H117" s="39"/>
    </row>
    <row r="118" spans="1:8">
      <c r="A118" s="215" t="s">
        <v>462</v>
      </c>
      <c r="B118" s="215">
        <f>ROW()</f>
        <v>118</v>
      </c>
      <c r="C118" s="220" t="s">
        <v>439</v>
      </c>
      <c r="D118" s="220" t="s">
        <v>440</v>
      </c>
      <c r="E118" s="100"/>
      <c r="F118" s="54"/>
      <c r="G118" s="54"/>
      <c r="H118" s="54"/>
    </row>
    <row r="119" spans="1:8" ht="15" thickBot="1">
      <c r="A119" s="215" t="s">
        <v>462</v>
      </c>
      <c r="B119" s="215">
        <f>ROW()</f>
        <v>119</v>
      </c>
      <c r="C119" s="220" t="s">
        <v>441</v>
      </c>
      <c r="D119" s="220" t="s">
        <v>442</v>
      </c>
      <c r="E119" s="100"/>
      <c r="F119" s="54"/>
      <c r="G119" s="54"/>
      <c r="H119" s="54"/>
    </row>
    <row r="120" spans="1:8" ht="15" thickBot="1">
      <c r="A120" s="215" t="s">
        <v>462</v>
      </c>
      <c r="B120" s="215">
        <f>ROW()</f>
        <v>120</v>
      </c>
      <c r="C120" s="220" t="s">
        <v>429</v>
      </c>
      <c r="D120" s="219" t="s">
        <v>443</v>
      </c>
      <c r="E120" s="100"/>
      <c r="F120" s="156">
        <f>F118-F119</f>
        <v>0</v>
      </c>
      <c r="G120" s="156">
        <f t="shared" ref="G120" si="5">G118-G119</f>
        <v>0</v>
      </c>
      <c r="H120" s="156">
        <f t="shared" ref="H120" si="6">H118-H119</f>
        <v>0</v>
      </c>
    </row>
    <row r="121" spans="1:8">
      <c r="A121" s="215" t="s">
        <v>462</v>
      </c>
      <c r="B121" s="215">
        <f>ROW()</f>
        <v>121</v>
      </c>
      <c r="C121" s="220" t="s">
        <v>463</v>
      </c>
      <c r="D121" s="220"/>
      <c r="E121" s="100"/>
      <c r="F121" s="39"/>
      <c r="G121" s="39"/>
      <c r="H121" s="39"/>
    </row>
    <row r="122" spans="1:8">
      <c r="A122" s="215" t="s">
        <v>462</v>
      </c>
      <c r="B122" s="215">
        <f>ROW()</f>
        <v>122</v>
      </c>
      <c r="C122" s="220" t="s">
        <v>439</v>
      </c>
      <c r="D122" s="220" t="s">
        <v>440</v>
      </c>
      <c r="E122" s="100"/>
      <c r="F122" s="54"/>
      <c r="G122" s="54"/>
      <c r="H122" s="54"/>
    </row>
    <row r="123" spans="1:8" ht="15" thickBot="1">
      <c r="A123" s="215" t="s">
        <v>462</v>
      </c>
      <c r="B123" s="215">
        <f>ROW()</f>
        <v>123</v>
      </c>
      <c r="C123" s="220" t="s">
        <v>441</v>
      </c>
      <c r="D123" s="220" t="s">
        <v>442</v>
      </c>
      <c r="E123" s="100"/>
      <c r="F123" s="54"/>
      <c r="G123" s="54"/>
      <c r="H123" s="54"/>
    </row>
    <row r="124" spans="1:8" ht="15" thickBot="1">
      <c r="A124" s="215" t="s">
        <v>462</v>
      </c>
      <c r="B124" s="215">
        <f>ROW()</f>
        <v>124</v>
      </c>
      <c r="C124" s="220" t="s">
        <v>429</v>
      </c>
      <c r="D124" s="219" t="s">
        <v>443</v>
      </c>
      <c r="E124" s="100"/>
      <c r="F124" s="156">
        <f>F122-F123</f>
        <v>0</v>
      </c>
      <c r="G124" s="156">
        <f t="shared" ref="G124" si="7">G122-G123</f>
        <v>0</v>
      </c>
      <c r="H124" s="156">
        <f t="shared" ref="H124" si="8">H122-H123</f>
        <v>0</v>
      </c>
    </row>
    <row r="125" spans="1:8">
      <c r="A125" s="215" t="s">
        <v>462</v>
      </c>
      <c r="B125" s="215">
        <f>ROW()</f>
        <v>125</v>
      </c>
      <c r="C125" s="220" t="s">
        <v>463</v>
      </c>
      <c r="D125" s="220"/>
      <c r="E125" s="100"/>
      <c r="F125" s="39"/>
      <c r="G125" s="39"/>
      <c r="H125" s="39"/>
    </row>
    <row r="126" spans="1:8">
      <c r="A126" s="215" t="s">
        <v>462</v>
      </c>
      <c r="B126" s="215">
        <f>ROW()</f>
        <v>126</v>
      </c>
      <c r="C126" s="220" t="s">
        <v>439</v>
      </c>
      <c r="D126" s="220" t="s">
        <v>440</v>
      </c>
      <c r="E126" s="100"/>
      <c r="F126" s="54"/>
      <c r="G126" s="54"/>
      <c r="H126" s="54"/>
    </row>
    <row r="127" spans="1:8" ht="15" thickBot="1">
      <c r="A127" s="215" t="s">
        <v>462</v>
      </c>
      <c r="B127" s="215">
        <f>ROW()</f>
        <v>127</v>
      </c>
      <c r="C127" s="220" t="s">
        <v>441</v>
      </c>
      <c r="D127" s="220" t="s">
        <v>442</v>
      </c>
      <c r="E127" s="100"/>
      <c r="F127" s="54"/>
      <c r="G127" s="54"/>
      <c r="H127" s="54"/>
    </row>
    <row r="128" spans="1:8" ht="15" thickBot="1">
      <c r="A128" s="215" t="s">
        <v>462</v>
      </c>
      <c r="B128" s="215">
        <f>ROW()</f>
        <v>128</v>
      </c>
      <c r="C128" s="220" t="s">
        <v>429</v>
      </c>
      <c r="D128" s="219" t="s">
        <v>443</v>
      </c>
      <c r="E128" s="100"/>
      <c r="F128" s="156">
        <f>F126-F127</f>
        <v>0</v>
      </c>
      <c r="G128" s="156">
        <f t="shared" ref="G128" si="9">G126-G127</f>
        <v>0</v>
      </c>
      <c r="H128" s="156">
        <f t="shared" ref="H128" si="10">H126-H127</f>
        <v>0</v>
      </c>
    </row>
    <row r="129" spans="1:8">
      <c r="A129" s="215" t="s">
        <v>462</v>
      </c>
      <c r="B129" s="215">
        <f>ROW()</f>
        <v>129</v>
      </c>
      <c r="C129" s="220" t="s">
        <v>463</v>
      </c>
      <c r="D129" s="220"/>
      <c r="E129" s="100"/>
      <c r="F129" s="39"/>
      <c r="G129" s="39"/>
      <c r="H129" s="39"/>
    </row>
    <row r="130" spans="1:8">
      <c r="A130" s="215" t="s">
        <v>462</v>
      </c>
      <c r="B130" s="215">
        <f>ROW()</f>
        <v>130</v>
      </c>
      <c r="C130" s="220" t="s">
        <v>439</v>
      </c>
      <c r="D130" s="220" t="s">
        <v>440</v>
      </c>
      <c r="E130" s="100"/>
      <c r="F130" s="54"/>
      <c r="G130" s="54"/>
      <c r="H130" s="54"/>
    </row>
    <row r="131" spans="1:8" ht="15" thickBot="1">
      <c r="A131" s="215" t="s">
        <v>462</v>
      </c>
      <c r="B131" s="215">
        <f>ROW()</f>
        <v>131</v>
      </c>
      <c r="C131" s="220" t="s">
        <v>441</v>
      </c>
      <c r="D131" s="220" t="s">
        <v>442</v>
      </c>
      <c r="E131" s="100"/>
      <c r="F131" s="54"/>
      <c r="G131" s="54"/>
      <c r="H131" s="54"/>
    </row>
    <row r="132" spans="1:8" ht="15" thickBot="1">
      <c r="A132" s="215" t="s">
        <v>462</v>
      </c>
      <c r="B132" s="215">
        <f>ROW()</f>
        <v>132</v>
      </c>
      <c r="C132" s="220" t="s">
        <v>429</v>
      </c>
      <c r="D132" s="219" t="s">
        <v>443</v>
      </c>
      <c r="E132" s="100"/>
      <c r="F132" s="156">
        <f>F130-F131</f>
        <v>0</v>
      </c>
      <c r="G132" s="156">
        <f t="shared" ref="G132" si="11">G130-G131</f>
        <v>0</v>
      </c>
      <c r="H132" s="156">
        <f t="shared" ref="H132" si="12">H130-H131</f>
        <v>0</v>
      </c>
    </row>
    <row r="133" spans="1:8">
      <c r="A133" s="215" t="s">
        <v>462</v>
      </c>
      <c r="B133" s="215">
        <f>ROW()</f>
        <v>133</v>
      </c>
      <c r="C133" s="220" t="s">
        <v>463</v>
      </c>
      <c r="D133" s="220"/>
      <c r="E133" s="100"/>
      <c r="F133" s="39"/>
      <c r="G133" s="39"/>
      <c r="H133" s="39"/>
    </row>
    <row r="134" spans="1:8">
      <c r="A134" s="215" t="s">
        <v>462</v>
      </c>
      <c r="B134" s="215">
        <f>ROW()</f>
        <v>134</v>
      </c>
      <c r="C134" s="220" t="s">
        <v>439</v>
      </c>
      <c r="D134" s="220" t="s">
        <v>440</v>
      </c>
      <c r="E134" s="100"/>
      <c r="F134" s="54"/>
      <c r="G134" s="54"/>
      <c r="H134" s="54"/>
    </row>
    <row r="135" spans="1:8" ht="15" thickBot="1">
      <c r="A135" s="215" t="s">
        <v>462</v>
      </c>
      <c r="B135" s="215">
        <f>ROW()</f>
        <v>135</v>
      </c>
      <c r="C135" s="220" t="s">
        <v>441</v>
      </c>
      <c r="D135" s="220" t="s">
        <v>442</v>
      </c>
      <c r="E135" s="100"/>
      <c r="F135" s="54"/>
      <c r="G135" s="54"/>
      <c r="H135" s="54"/>
    </row>
    <row r="136" spans="1:8" ht="15" thickBot="1">
      <c r="A136" s="215" t="s">
        <v>462</v>
      </c>
      <c r="B136" s="215">
        <f>ROW()</f>
        <v>136</v>
      </c>
      <c r="C136" s="220" t="s">
        <v>429</v>
      </c>
      <c r="D136" s="219" t="s">
        <v>443</v>
      </c>
      <c r="E136" s="100"/>
      <c r="F136" s="156">
        <f>F134-F135</f>
        <v>0</v>
      </c>
      <c r="G136" s="156">
        <f t="shared" ref="G136" si="13">G134-G135</f>
        <v>0</v>
      </c>
      <c r="H136" s="156">
        <f t="shared" ref="H136" si="14">H134-H135</f>
        <v>0</v>
      </c>
    </row>
    <row r="137" spans="1:8">
      <c r="A137" s="215" t="s">
        <v>462</v>
      </c>
      <c r="B137" s="215">
        <f>ROW()</f>
        <v>137</v>
      </c>
      <c r="C137" s="220" t="s">
        <v>463</v>
      </c>
      <c r="D137" s="220"/>
      <c r="E137" s="100"/>
      <c r="F137" s="39"/>
      <c r="G137" s="39"/>
      <c r="H137" s="39"/>
    </row>
    <row r="138" spans="1:8">
      <c r="A138" s="215" t="s">
        <v>462</v>
      </c>
      <c r="B138" s="215">
        <f>ROW()</f>
        <v>138</v>
      </c>
      <c r="C138" s="220" t="s">
        <v>439</v>
      </c>
      <c r="D138" s="220" t="s">
        <v>440</v>
      </c>
      <c r="E138" s="100"/>
      <c r="F138" s="54"/>
      <c r="G138" s="54"/>
      <c r="H138" s="54"/>
    </row>
    <row r="139" spans="1:8" ht="15" thickBot="1">
      <c r="A139" s="215" t="s">
        <v>462</v>
      </c>
      <c r="B139" s="215">
        <f>ROW()</f>
        <v>139</v>
      </c>
      <c r="C139" s="220" t="s">
        <v>441</v>
      </c>
      <c r="D139" s="220" t="s">
        <v>442</v>
      </c>
      <c r="E139" s="100"/>
      <c r="F139" s="54"/>
      <c r="G139" s="54"/>
      <c r="H139" s="54"/>
    </row>
    <row r="140" spans="1:8" ht="15" thickBot="1">
      <c r="A140" s="215" t="s">
        <v>462</v>
      </c>
      <c r="B140" s="215">
        <f>ROW()</f>
        <v>140</v>
      </c>
      <c r="C140" s="220" t="s">
        <v>429</v>
      </c>
      <c r="D140" s="219" t="s">
        <v>443</v>
      </c>
      <c r="E140" s="100"/>
      <c r="F140" s="156">
        <f>F138-F139</f>
        <v>0</v>
      </c>
      <c r="G140" s="156">
        <f t="shared" ref="G140" si="15">G138-G139</f>
        <v>0</v>
      </c>
      <c r="H140" s="156">
        <f t="shared" ref="H140" si="16">H138-H139</f>
        <v>0</v>
      </c>
    </row>
    <row r="141" spans="1:8" s="45" customFormat="1">
      <c r="B141" s="45" t="s">
        <v>464</v>
      </c>
      <c r="D141"/>
      <c r="E141" s="246"/>
      <c r="F141" s="70"/>
      <c r="G141" s="70"/>
      <c r="H141" s="70"/>
    </row>
  </sheetData>
  <dataValidations count="1">
    <dataValidation type="list" allowBlank="1" showInputMessage="1" showErrorMessage="1" sqref="E18:E107" xr:uid="{B665DDD1-AFBF-4955-91C1-EADC4D942C94}">
      <formula1>"[Select one],Causal Relationship,Proxy Cost Allocator"</formula1>
    </dataValidation>
  </dataValidations>
  <pageMargins left="0.25" right="0.25" top="0.75" bottom="0.75" header="0.3" footer="0.3"/>
  <pageSetup paperSize="9" scale="49" fitToHeight="0" orientation="portrait" r:id="rId1"/>
  <ignoredErrors>
    <ignoredError sqref="J7:J10 I14" formula="1"/>
  </ignoredErrors>
  <tableParts count="3">
    <tablePart r:id="rId2"/>
    <tablePart r:id="rId3"/>
    <tablePart r:id="rId4"/>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CFD66-D41F-460B-B578-92024E323CDF}">
  <sheetPr>
    <pageSetUpPr fitToPage="1"/>
  </sheetPr>
  <dimension ref="A1:J39"/>
  <sheetViews>
    <sheetView showGridLines="0" view="pageBreakPreview" topLeftCell="B1" zoomScaleNormal="100" zoomScaleSheetLayoutView="100" workbookViewId="0">
      <selection activeCell="C38" sqref="C38"/>
    </sheetView>
  </sheetViews>
  <sheetFormatPr defaultColWidth="8.7265625" defaultRowHeight="14.5"/>
  <cols>
    <col min="1" max="1" width="30.26953125" style="56" hidden="1" customWidth="1"/>
    <col min="2" max="2" width="8.7265625" style="56" customWidth="1"/>
    <col min="3" max="3" width="57.26953125" style="56" customWidth="1"/>
    <col min="4" max="4" width="22.7265625" style="56" customWidth="1"/>
    <col min="5" max="5" width="20.54296875" style="56" customWidth="1"/>
    <col min="6" max="6" width="20.26953125" style="56" customWidth="1"/>
    <col min="7" max="7" width="22.54296875" style="56" bestFit="1" customWidth="1"/>
    <col min="8" max="8" width="25.7265625" style="56" customWidth="1"/>
    <col min="9" max="9" width="8.7265625" style="56"/>
    <col min="10" max="10" width="8.7265625" style="2"/>
    <col min="11" max="16384" width="8.7265625" style="56"/>
  </cols>
  <sheetData>
    <row r="1" spans="1:8" ht="22">
      <c r="B1" s="293" t="str">
        <f>_company_name&amp;"    |     Pricing period starting year - "&amp;TEXT(_pp_starting_year,"dd mmmm yyyy")&amp;"    |     Disclosure year - "&amp;TEXT(_dy_year_ended,"yyyy")</f>
        <v>[select name of the airport]    |     Pricing period starting year - 30 June 2023    |     Disclosure year - 2026</v>
      </c>
    </row>
    <row r="3" spans="1:8" ht="23.5">
      <c r="B3" s="55" t="s">
        <v>465</v>
      </c>
    </row>
    <row r="4" spans="1:8" ht="21">
      <c r="B4" s="3" t="s">
        <v>466</v>
      </c>
    </row>
    <row r="5" spans="1:8" ht="44.15" customHeight="1">
      <c r="A5" s="221" t="s">
        <v>80</v>
      </c>
      <c r="B5" s="222" t="s">
        <v>81</v>
      </c>
      <c r="C5" s="5" t="s">
        <v>83</v>
      </c>
      <c r="D5" s="5" t="s">
        <v>151</v>
      </c>
      <c r="E5" s="5" t="s">
        <v>467</v>
      </c>
      <c r="F5" s="5" t="s">
        <v>468</v>
      </c>
      <c r="G5" s="8" t="s">
        <v>469</v>
      </c>
    </row>
    <row r="6" spans="1:8">
      <c r="A6" s="215" t="s">
        <v>470</v>
      </c>
      <c r="B6" s="215">
        <f>ROW()</f>
        <v>6</v>
      </c>
      <c r="C6" s="220" t="s">
        <v>471</v>
      </c>
      <c r="D6" s="220" t="s">
        <v>472</v>
      </c>
      <c r="E6" s="54"/>
      <c r="F6" s="54"/>
      <c r="G6" s="200"/>
      <c r="H6" s="45" t="s">
        <v>473</v>
      </c>
    </row>
    <row r="7" spans="1:8">
      <c r="A7" s="215" t="s">
        <v>470</v>
      </c>
      <c r="B7" s="215">
        <f>ROW()</f>
        <v>7</v>
      </c>
      <c r="C7" s="220" t="s">
        <v>471</v>
      </c>
      <c r="D7" s="220" t="s">
        <v>474</v>
      </c>
      <c r="E7" s="54"/>
      <c r="F7" s="54"/>
      <c r="G7" s="200"/>
      <c r="H7" s="45" t="s">
        <v>473</v>
      </c>
    </row>
    <row r="8" spans="1:8" ht="15" thickBot="1">
      <c r="A8" s="215" t="s">
        <v>470</v>
      </c>
      <c r="B8" s="215">
        <f>ROW()</f>
        <v>8</v>
      </c>
      <c r="C8" s="220" t="s">
        <v>471</v>
      </c>
      <c r="D8" s="220" t="s">
        <v>475</v>
      </c>
      <c r="E8" s="54"/>
      <c r="F8" s="54"/>
      <c r="G8" s="200"/>
      <c r="H8" s="45" t="s">
        <v>473</v>
      </c>
    </row>
    <row r="9" spans="1:8" ht="15" thickBot="1">
      <c r="A9" s="215" t="s">
        <v>470</v>
      </c>
      <c r="B9" s="215">
        <f>ROW()</f>
        <v>9</v>
      </c>
      <c r="C9" s="219" t="s">
        <v>471</v>
      </c>
      <c r="D9" s="219" t="s">
        <v>476</v>
      </c>
      <c r="E9" s="192">
        <f>SUM(E6:E8)</f>
        <v>0</v>
      </c>
      <c r="F9" s="192" t="str">
        <f>IF(SUM(F6:F8,G6:G8)&lt;&gt;0,SUM($F6:F8)+INT(SUM($G6:G8)/60),"-")</f>
        <v>-</v>
      </c>
      <c r="G9" s="192" t="str">
        <f>IF(SUM(G6:G8,H6:H8)&lt;&gt;0,SUM($F6:G8)+INT(SUM($G6:H8)/60),"-")</f>
        <v>-</v>
      </c>
      <c r="H9" s="45" t="s">
        <v>473</v>
      </c>
    </row>
    <row r="10" spans="1:8">
      <c r="A10" s="215" t="s">
        <v>470</v>
      </c>
      <c r="B10" s="215">
        <f>ROW()</f>
        <v>10</v>
      </c>
      <c r="C10" s="220" t="s">
        <v>477</v>
      </c>
      <c r="D10" s="220" t="s">
        <v>472</v>
      </c>
      <c r="E10" s="54"/>
      <c r="F10" s="54"/>
      <c r="G10" s="200"/>
      <c r="H10" s="45" t="s">
        <v>473</v>
      </c>
    </row>
    <row r="11" spans="1:8">
      <c r="A11" s="215" t="s">
        <v>470</v>
      </c>
      <c r="B11" s="215">
        <f>ROW()</f>
        <v>11</v>
      </c>
      <c r="C11" s="220" t="s">
        <v>477</v>
      </c>
      <c r="D11" s="220" t="s">
        <v>474</v>
      </c>
      <c r="E11" s="54"/>
      <c r="F11" s="54"/>
      <c r="G11" s="200"/>
      <c r="H11" s="45" t="s">
        <v>473</v>
      </c>
    </row>
    <row r="12" spans="1:8" ht="15" thickBot="1">
      <c r="A12" s="215" t="s">
        <v>470</v>
      </c>
      <c r="B12" s="215">
        <f>ROW()</f>
        <v>12</v>
      </c>
      <c r="C12" s="220" t="s">
        <v>477</v>
      </c>
      <c r="D12" s="220" t="s">
        <v>475</v>
      </c>
      <c r="E12" s="54"/>
      <c r="F12" s="54"/>
      <c r="G12" s="200"/>
      <c r="H12" s="45" t="s">
        <v>473</v>
      </c>
    </row>
    <row r="13" spans="1:8" ht="15" thickBot="1">
      <c r="A13" s="215" t="s">
        <v>470</v>
      </c>
      <c r="B13" s="215">
        <f>ROW()</f>
        <v>13</v>
      </c>
      <c r="C13" s="219" t="s">
        <v>477</v>
      </c>
      <c r="D13" s="219" t="s">
        <v>476</v>
      </c>
      <c r="E13" s="192">
        <f>SUM(E10:E12)</f>
        <v>0</v>
      </c>
      <c r="F13" s="192" t="str">
        <f>IF(SUM(F10:F12,G10:G12)&lt;&gt;0,SUM($F10:F12)+INT(SUM($G10:G12)/60),"-")</f>
        <v>-</v>
      </c>
      <c r="G13" s="192" t="str">
        <f>IF(SUM(F10:F12,G10:G12)&lt;&gt;0,MOD(SUM($G10:G12),60),"-")</f>
        <v>-</v>
      </c>
      <c r="H13" s="45" t="s">
        <v>473</v>
      </c>
    </row>
    <row r="14" spans="1:8">
      <c r="A14" s="215" t="s">
        <v>470</v>
      </c>
      <c r="B14" s="215">
        <f>ROW()</f>
        <v>14</v>
      </c>
      <c r="C14" s="220" t="s">
        <v>478</v>
      </c>
      <c r="D14" s="220" t="s">
        <v>472</v>
      </c>
      <c r="E14" s="54"/>
      <c r="F14" s="54"/>
      <c r="G14" s="200"/>
      <c r="H14" s="208" t="s">
        <v>479</v>
      </c>
    </row>
    <row r="15" spans="1:8">
      <c r="A15" s="215" t="s">
        <v>470</v>
      </c>
      <c r="B15" s="215">
        <f>ROW()</f>
        <v>15</v>
      </c>
      <c r="C15" s="220" t="s">
        <v>478</v>
      </c>
      <c r="D15" s="220" t="s">
        <v>474</v>
      </c>
      <c r="E15" s="54"/>
      <c r="F15" s="54"/>
      <c r="G15" s="200"/>
      <c r="H15" s="208" t="s">
        <v>479</v>
      </c>
    </row>
    <row r="16" spans="1:8" ht="15" thickBot="1">
      <c r="A16" s="215" t="s">
        <v>470</v>
      </c>
      <c r="B16" s="215">
        <f>ROW()</f>
        <v>16</v>
      </c>
      <c r="C16" s="220" t="s">
        <v>478</v>
      </c>
      <c r="D16" s="220" t="s">
        <v>475</v>
      </c>
      <c r="E16" s="54"/>
      <c r="F16" s="54"/>
      <c r="G16" s="200"/>
      <c r="H16" s="208" t="s">
        <v>479</v>
      </c>
    </row>
    <row r="17" spans="1:8" ht="15" thickBot="1">
      <c r="A17" s="215" t="s">
        <v>470</v>
      </c>
      <c r="B17" s="215">
        <f>ROW()</f>
        <v>17</v>
      </c>
      <c r="C17" s="219" t="s">
        <v>478</v>
      </c>
      <c r="D17" s="219" t="s">
        <v>476</v>
      </c>
      <c r="E17" s="192">
        <f t="shared" ref="E17:E25" si="0">SUM(E14:E16)</f>
        <v>0</v>
      </c>
      <c r="F17" s="192" t="str">
        <f>IF(SUM(F14:F16,G14:G16)&lt;&gt;0,SUM($F14:F16)+INT(SUM($G14:G16)/60),"-")</f>
        <v>-</v>
      </c>
      <c r="G17" s="207" t="str">
        <f>IF(SUM(F14:F16,G14:G16)&lt;&gt;0,MOD(SUM($G14:G16),60),"-")</f>
        <v>-</v>
      </c>
      <c r="H17" s="208" t="s">
        <v>479</v>
      </c>
    </row>
    <row r="18" spans="1:8">
      <c r="A18" s="215" t="s">
        <v>470</v>
      </c>
      <c r="B18" s="215">
        <f>ROW()</f>
        <v>18</v>
      </c>
      <c r="C18" s="220" t="s">
        <v>480</v>
      </c>
      <c r="D18" s="220" t="s">
        <v>472</v>
      </c>
      <c r="E18" s="54"/>
      <c r="F18" s="54"/>
      <c r="G18" s="200"/>
      <c r="H18" s="45" t="s">
        <v>481</v>
      </c>
    </row>
    <row r="19" spans="1:8">
      <c r="A19" s="215" t="s">
        <v>470</v>
      </c>
      <c r="B19" s="215">
        <f>ROW()</f>
        <v>19</v>
      </c>
      <c r="C19" s="220" t="s">
        <v>480</v>
      </c>
      <c r="D19" s="220" t="s">
        <v>474</v>
      </c>
      <c r="E19" s="54"/>
      <c r="F19" s="54"/>
      <c r="G19" s="200"/>
      <c r="H19" s="45" t="s">
        <v>481</v>
      </c>
    </row>
    <row r="20" spans="1:8" ht="15" thickBot="1">
      <c r="A20" s="215" t="s">
        <v>470</v>
      </c>
      <c r="B20" s="215">
        <f>ROW()</f>
        <v>20</v>
      </c>
      <c r="C20" s="220" t="s">
        <v>480</v>
      </c>
      <c r="D20" s="220" t="s">
        <v>475</v>
      </c>
      <c r="E20" s="54"/>
      <c r="F20" s="54"/>
      <c r="G20" s="200"/>
      <c r="H20" s="45" t="s">
        <v>481</v>
      </c>
    </row>
    <row r="21" spans="1:8" ht="15" thickBot="1">
      <c r="A21" s="215" t="s">
        <v>470</v>
      </c>
      <c r="B21" s="215">
        <f>ROW()</f>
        <v>21</v>
      </c>
      <c r="C21" s="219" t="s">
        <v>480</v>
      </c>
      <c r="D21" s="219" t="s">
        <v>476</v>
      </c>
      <c r="E21" s="192">
        <f t="shared" si="0"/>
        <v>0</v>
      </c>
      <c r="F21" s="192" t="str">
        <f>IF(SUM(F18:F20,G18:G20)&lt;&gt;0,SUM($F18:F20)+INT(SUM($G18:G20)/60),"-")</f>
        <v>-</v>
      </c>
      <c r="G21" s="207" t="str">
        <f>IF(SUM(F18:F20,G18:G20)&lt;&gt;0,MOD(SUM($G18:G20),60),"-")</f>
        <v>-</v>
      </c>
      <c r="H21" s="45" t="s">
        <v>481</v>
      </c>
    </row>
    <row r="22" spans="1:8">
      <c r="A22" s="215" t="s">
        <v>470</v>
      </c>
      <c r="B22" s="215">
        <f>ROW()</f>
        <v>22</v>
      </c>
      <c r="C22" s="220" t="s">
        <v>482</v>
      </c>
      <c r="D22" s="220" t="s">
        <v>472</v>
      </c>
      <c r="E22" s="54"/>
      <c r="F22" s="54"/>
      <c r="G22" s="200"/>
      <c r="H22" s="45" t="s">
        <v>483</v>
      </c>
    </row>
    <row r="23" spans="1:8">
      <c r="A23" s="215" t="s">
        <v>470</v>
      </c>
      <c r="B23" s="215">
        <f>ROW()</f>
        <v>23</v>
      </c>
      <c r="C23" s="220" t="s">
        <v>482</v>
      </c>
      <c r="D23" s="220" t="s">
        <v>474</v>
      </c>
      <c r="E23" s="54"/>
      <c r="F23" s="54"/>
      <c r="G23" s="200"/>
      <c r="H23" s="45" t="s">
        <v>483</v>
      </c>
    </row>
    <row r="24" spans="1:8" ht="15" thickBot="1">
      <c r="A24" s="215" t="s">
        <v>470</v>
      </c>
      <c r="B24" s="215">
        <f>ROW()</f>
        <v>24</v>
      </c>
      <c r="C24" s="220" t="s">
        <v>482</v>
      </c>
      <c r="D24" s="220" t="s">
        <v>475</v>
      </c>
      <c r="E24" s="54"/>
      <c r="F24" s="54"/>
      <c r="G24" s="200"/>
      <c r="H24" s="45" t="s">
        <v>483</v>
      </c>
    </row>
    <row r="25" spans="1:8" ht="15" thickBot="1">
      <c r="A25" s="215" t="s">
        <v>470</v>
      </c>
      <c r="B25" s="215">
        <f>ROW()</f>
        <v>25</v>
      </c>
      <c r="C25" s="219" t="s">
        <v>482</v>
      </c>
      <c r="D25" s="219" t="s">
        <v>476</v>
      </c>
      <c r="E25" s="192">
        <f t="shared" si="0"/>
        <v>0</v>
      </c>
      <c r="F25" s="192" t="str">
        <f>IF(SUM(F22:F24,G22:G24)&lt;&gt;0,SUM($F22:F24)+INT(SUM($G22:G24)/60),"-")</f>
        <v>-</v>
      </c>
      <c r="G25" s="207" t="str">
        <f>IF(SUM(F22:F24,G22:G24)&lt;&gt;0,MOD(SUM($G22:G24),60),"-")</f>
        <v>-</v>
      </c>
      <c r="H25" s="45" t="s">
        <v>483</v>
      </c>
    </row>
    <row r="26" spans="1:8">
      <c r="A26" s="215" t="s">
        <v>470</v>
      </c>
      <c r="B26" s="215">
        <f>ROW()</f>
        <v>26</v>
      </c>
      <c r="C26" s="220" t="s">
        <v>484</v>
      </c>
      <c r="D26" s="220" t="s">
        <v>472</v>
      </c>
      <c r="E26" s="54"/>
      <c r="F26" s="54"/>
      <c r="G26" s="200"/>
      <c r="H26" s="45" t="s">
        <v>485</v>
      </c>
    </row>
    <row r="27" spans="1:8">
      <c r="A27" s="215" t="s">
        <v>470</v>
      </c>
      <c r="B27" s="215">
        <f>ROW()</f>
        <v>27</v>
      </c>
      <c r="C27" s="220" t="s">
        <v>484</v>
      </c>
      <c r="D27" s="220" t="s">
        <v>474</v>
      </c>
      <c r="E27" s="54"/>
      <c r="F27" s="54"/>
      <c r="G27" s="200"/>
      <c r="H27" s="45" t="s">
        <v>485</v>
      </c>
    </row>
    <row r="28" spans="1:8" ht="15" thickBot="1">
      <c r="A28" s="215" t="s">
        <v>470</v>
      </c>
      <c r="B28" s="215">
        <f>ROW()</f>
        <v>28</v>
      </c>
      <c r="C28" s="220" t="s">
        <v>484</v>
      </c>
      <c r="D28" s="220" t="s">
        <v>475</v>
      </c>
      <c r="E28" s="54"/>
      <c r="F28" s="54"/>
      <c r="G28" s="200"/>
      <c r="H28" s="45" t="s">
        <v>485</v>
      </c>
    </row>
    <row r="29" spans="1:8" ht="15" thickBot="1">
      <c r="A29" s="215" t="s">
        <v>470</v>
      </c>
      <c r="B29" s="215">
        <f>ROW()</f>
        <v>29</v>
      </c>
      <c r="C29" s="219" t="s">
        <v>484</v>
      </c>
      <c r="D29" s="219" t="s">
        <v>476</v>
      </c>
      <c r="E29" s="192">
        <f>SUM(E26:E28)</f>
        <v>0</v>
      </c>
      <c r="F29" s="192" t="str">
        <f>IF(SUM(F26:F28,G26:G28)&lt;&gt;0,SUM($F26:F28)+INT(SUM($G26:G28)/60),"-")</f>
        <v>-</v>
      </c>
      <c r="G29" s="207" t="str">
        <f>IF(SUM(F26:F28,G26:G28)&lt;&gt;0,MOD(SUM($G26:G28),60),"-")</f>
        <v>-</v>
      </c>
      <c r="H29" s="45" t="s">
        <v>485</v>
      </c>
    </row>
    <row r="30" spans="1:8">
      <c r="A30" s="215" t="s">
        <v>470</v>
      </c>
      <c r="B30" s="215">
        <f>ROW()</f>
        <v>30</v>
      </c>
      <c r="C30" s="220" t="s">
        <v>486</v>
      </c>
      <c r="D30" s="220" t="s">
        <v>472</v>
      </c>
      <c r="E30" s="54"/>
      <c r="F30" s="54"/>
      <c r="G30" s="200"/>
      <c r="H30" s="208" t="s">
        <v>487</v>
      </c>
    </row>
    <row r="31" spans="1:8">
      <c r="A31" s="215" t="s">
        <v>470</v>
      </c>
      <c r="B31" s="215">
        <f>ROW()</f>
        <v>31</v>
      </c>
      <c r="C31" s="220" t="s">
        <v>486</v>
      </c>
      <c r="D31" s="220" t="s">
        <v>474</v>
      </c>
      <c r="E31" s="54"/>
      <c r="F31" s="54"/>
      <c r="G31" s="200"/>
      <c r="H31" s="208" t="s">
        <v>487</v>
      </c>
    </row>
    <row r="32" spans="1:8" ht="15" thickBot="1">
      <c r="A32" s="215" t="s">
        <v>470</v>
      </c>
      <c r="B32" s="215">
        <f>ROW()</f>
        <v>32</v>
      </c>
      <c r="C32" s="220" t="s">
        <v>486</v>
      </c>
      <c r="D32" s="220" t="s">
        <v>475</v>
      </c>
      <c r="E32" s="54"/>
      <c r="F32" s="54"/>
      <c r="G32" s="200"/>
      <c r="H32" s="208" t="s">
        <v>487</v>
      </c>
    </row>
    <row r="33" spans="1:8" ht="15" thickBot="1">
      <c r="A33" s="215" t="s">
        <v>470</v>
      </c>
      <c r="B33" s="215">
        <f>ROW()</f>
        <v>33</v>
      </c>
      <c r="C33" s="219" t="s">
        <v>486</v>
      </c>
      <c r="D33" s="219" t="s">
        <v>476</v>
      </c>
      <c r="E33" s="192">
        <f t="shared" ref="E33" si="1">SUM(E30:E32)</f>
        <v>0</v>
      </c>
      <c r="F33" s="192" t="str">
        <f>IF(SUM(F30:F32,G30:G32)&lt;&gt;0,SUM($F30:F32)+INT(SUM($G30:G32)/60),"-")</f>
        <v>-</v>
      </c>
      <c r="G33" s="207" t="str">
        <f>IF(SUM(F30:F32,G30:G32)&lt;&gt;0,MOD(SUM($G30:G32),60),"-")</f>
        <v>-</v>
      </c>
      <c r="H33" s="208" t="s">
        <v>487</v>
      </c>
    </row>
    <row r="36" spans="1:8" ht="21">
      <c r="B36" s="3" t="s">
        <v>466</v>
      </c>
    </row>
    <row r="37" spans="1:8" ht="43.5">
      <c r="A37" s="221" t="s">
        <v>80</v>
      </c>
      <c r="B37" s="222" t="s">
        <v>81</v>
      </c>
      <c r="C37" s="5" t="s">
        <v>83</v>
      </c>
      <c r="D37" s="5" t="s">
        <v>151</v>
      </c>
      <c r="E37" s="5" t="s">
        <v>488</v>
      </c>
      <c r="G37" s="2"/>
    </row>
    <row r="38" spans="1:8">
      <c r="A38" s="215" t="s">
        <v>470</v>
      </c>
      <c r="B38" s="215">
        <f>ROW()</f>
        <v>38</v>
      </c>
      <c r="C38" s="220" t="s">
        <v>489</v>
      </c>
      <c r="D38" s="220"/>
      <c r="E38" s="57"/>
      <c r="G38" s="2"/>
      <c r="H38" s="45" t="s">
        <v>490</v>
      </c>
    </row>
    <row r="39" spans="1:8">
      <c r="A39"/>
      <c r="B39" s="45" t="s">
        <v>491</v>
      </c>
      <c r="C39"/>
      <c r="D39"/>
      <c r="E39" s="248"/>
    </row>
  </sheetData>
  <pageMargins left="0.25" right="0.25" top="0.75" bottom="0.75" header="0.3" footer="0.3"/>
  <pageSetup paperSize="9" scale="65" fitToHeight="0" orientation="portrait" r:id="rId1"/>
  <tableParts count="2">
    <tablePart r:id="rId2"/>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AF1FA-C7E5-4B9E-BA56-6D68290F8ADC}">
  <sheetPr>
    <pageSetUpPr fitToPage="1"/>
  </sheetPr>
  <dimension ref="A1:I52"/>
  <sheetViews>
    <sheetView showGridLines="0" view="pageBreakPreview" topLeftCell="B1" zoomScaleNormal="100" zoomScaleSheetLayoutView="100" workbookViewId="0">
      <selection activeCell="B19" sqref="B19"/>
    </sheetView>
  </sheetViews>
  <sheetFormatPr defaultColWidth="8.7265625" defaultRowHeight="14.5"/>
  <cols>
    <col min="1" max="1" width="29.7265625" style="56" hidden="1" customWidth="1"/>
    <col min="2" max="2" width="8.7265625" style="56"/>
    <col min="3" max="3" width="58.81640625" style="56" bestFit="1" customWidth="1"/>
    <col min="4" max="4" width="53.26953125" style="56" customWidth="1"/>
    <col min="5" max="5" width="28.7265625" style="56" bestFit="1" customWidth="1"/>
    <col min="6" max="6" width="25" style="56" customWidth="1"/>
    <col min="7" max="7" width="29.7265625" style="56" customWidth="1"/>
    <col min="8" max="8" width="28.7265625" style="56" customWidth="1"/>
    <col min="9" max="9" width="27.453125" style="56" customWidth="1"/>
    <col min="10" max="16384" width="8.7265625" style="56"/>
  </cols>
  <sheetData>
    <row r="1" spans="1:8" ht="23.5">
      <c r="B1" s="1" t="str">
        <f>_company_name&amp;"    |     Pricing period starting year - "&amp;TEXT(_pp_starting_year,"dd mmmm yyyy")&amp;"    |     Disclosure year - "&amp;TEXT(_dy_year_ended,"yyyy")</f>
        <v>[select name of the airport]    |     Pricing period starting year - 30 June 2023    |     Disclosure year - 2026</v>
      </c>
    </row>
    <row r="3" spans="1:8" ht="23.5">
      <c r="B3" s="1" t="s">
        <v>492</v>
      </c>
    </row>
    <row r="4" spans="1:8" ht="21">
      <c r="B4" s="61" t="s">
        <v>493</v>
      </c>
    </row>
    <row r="5" spans="1:8">
      <c r="A5" s="221" t="s">
        <v>80</v>
      </c>
      <c r="B5" s="222" t="s">
        <v>81</v>
      </c>
      <c r="C5" s="5" t="s">
        <v>83</v>
      </c>
      <c r="D5" s="5" t="s">
        <v>151</v>
      </c>
      <c r="E5" s="5" t="s">
        <v>494</v>
      </c>
      <c r="F5" s="5" t="s">
        <v>495</v>
      </c>
      <c r="G5" s="5" t="s">
        <v>496</v>
      </c>
      <c r="H5" s="7" t="s">
        <v>497</v>
      </c>
    </row>
    <row r="6" spans="1:8" ht="14.65" customHeight="1">
      <c r="A6" s="215" t="s">
        <v>493</v>
      </c>
      <c r="B6" s="215">
        <f>ROW()</f>
        <v>6</v>
      </c>
      <c r="C6" s="220" t="s">
        <v>471</v>
      </c>
      <c r="D6" s="220" t="s">
        <v>498</v>
      </c>
      <c r="E6" s="220" t="s">
        <v>499</v>
      </c>
      <c r="F6" s="54"/>
      <c r="G6" s="54"/>
      <c r="H6" s="54"/>
    </row>
    <row r="7" spans="1:8" ht="14.65" customHeight="1">
      <c r="A7" s="215" t="s">
        <v>493</v>
      </c>
      <c r="B7" s="215">
        <f>ROW()</f>
        <v>7</v>
      </c>
      <c r="C7" s="220" t="s">
        <v>471</v>
      </c>
      <c r="D7" s="220" t="s">
        <v>498</v>
      </c>
      <c r="E7" s="220" t="s">
        <v>500</v>
      </c>
      <c r="F7" s="54"/>
      <c r="G7" s="54"/>
      <c r="H7" s="54"/>
    </row>
    <row r="8" spans="1:8" ht="14.65" customHeight="1">
      <c r="A8" s="215" t="s">
        <v>493</v>
      </c>
      <c r="B8" s="215">
        <f>ROW()</f>
        <v>8</v>
      </c>
      <c r="C8" s="220" t="s">
        <v>471</v>
      </c>
      <c r="D8" s="220" t="s">
        <v>498</v>
      </c>
      <c r="E8" s="220" t="s">
        <v>501</v>
      </c>
      <c r="F8" s="54"/>
      <c r="G8" s="54"/>
      <c r="H8" s="54"/>
    </row>
    <row r="9" spans="1:8" ht="14.65" customHeight="1">
      <c r="A9" s="215" t="s">
        <v>493</v>
      </c>
      <c r="B9" s="215">
        <f>ROW()</f>
        <v>9</v>
      </c>
      <c r="C9" s="220" t="s">
        <v>471</v>
      </c>
      <c r="D9" s="220" t="s">
        <v>498</v>
      </c>
      <c r="E9" s="220" t="s">
        <v>502</v>
      </c>
      <c r="F9" s="54"/>
      <c r="G9" s="54"/>
      <c r="H9" s="54"/>
    </row>
    <row r="10" spans="1:8" ht="14.65" customHeight="1">
      <c r="A10" s="215" t="s">
        <v>493</v>
      </c>
      <c r="B10" s="215">
        <f>ROW()</f>
        <v>10</v>
      </c>
      <c r="C10" s="220" t="s">
        <v>471</v>
      </c>
      <c r="D10" s="220" t="s">
        <v>498</v>
      </c>
      <c r="E10" s="220" t="s">
        <v>503</v>
      </c>
      <c r="F10" s="54"/>
      <c r="G10" s="54"/>
      <c r="H10" s="54"/>
    </row>
    <row r="11" spans="1:8" ht="14.65" customHeight="1">
      <c r="A11" s="215" t="s">
        <v>493</v>
      </c>
      <c r="B11" s="215">
        <f>ROW()</f>
        <v>11</v>
      </c>
      <c r="C11" s="220" t="s">
        <v>471</v>
      </c>
      <c r="D11" s="220" t="s">
        <v>498</v>
      </c>
      <c r="E11" s="220" t="s">
        <v>504</v>
      </c>
      <c r="F11" s="54" t="s">
        <v>409</v>
      </c>
      <c r="G11" s="54" t="s">
        <v>409</v>
      </c>
      <c r="H11" s="54" t="s">
        <v>409</v>
      </c>
    </row>
    <row r="12" spans="1:8" ht="14.65" customHeight="1">
      <c r="A12" s="215" t="s">
        <v>493</v>
      </c>
      <c r="B12" s="215">
        <f>ROW()</f>
        <v>12</v>
      </c>
      <c r="C12" s="220" t="s">
        <v>471</v>
      </c>
      <c r="D12" s="220" t="s">
        <v>505</v>
      </c>
      <c r="E12" s="220" t="s">
        <v>506</v>
      </c>
      <c r="F12" s="54"/>
      <c r="G12" s="54"/>
      <c r="H12" s="54"/>
    </row>
    <row r="13" spans="1:8">
      <c r="A13" s="215" t="s">
        <v>493</v>
      </c>
      <c r="B13" s="215">
        <f>ROW()</f>
        <v>13</v>
      </c>
      <c r="C13" s="220" t="s">
        <v>471</v>
      </c>
      <c r="D13" s="220" t="s">
        <v>505</v>
      </c>
      <c r="E13" s="220" t="s">
        <v>507</v>
      </c>
      <c r="F13" s="54"/>
      <c r="G13" s="54"/>
      <c r="H13" s="54"/>
    </row>
    <row r="16" spans="1:8" ht="21">
      <c r="B16" s="61" t="s">
        <v>493</v>
      </c>
    </row>
    <row r="17" spans="1:9">
      <c r="A17" s="221" t="s">
        <v>80</v>
      </c>
      <c r="B17" s="222" t="s">
        <v>81</v>
      </c>
      <c r="C17" s="48" t="s">
        <v>83</v>
      </c>
      <c r="D17" s="48" t="s">
        <v>151</v>
      </c>
      <c r="E17" s="48" t="s">
        <v>494</v>
      </c>
      <c r="F17" s="48" t="s">
        <v>508</v>
      </c>
      <c r="G17" s="48" t="s">
        <v>509</v>
      </c>
      <c r="H17" s="48" t="s">
        <v>510</v>
      </c>
    </row>
    <row r="18" spans="1:9">
      <c r="A18" s="215" t="s">
        <v>493</v>
      </c>
      <c r="B18" s="215">
        <f>ROW()</f>
        <v>18</v>
      </c>
      <c r="C18" s="220" t="s">
        <v>477</v>
      </c>
      <c r="D18" s="220" t="s">
        <v>511</v>
      </c>
      <c r="E18" s="220" t="s">
        <v>512</v>
      </c>
      <c r="F18" s="54"/>
      <c r="G18" s="54"/>
      <c r="H18" s="54"/>
    </row>
    <row r="19" spans="1:9">
      <c r="A19" s="215" t="s">
        <v>493</v>
      </c>
      <c r="B19" s="215">
        <f>ROW()</f>
        <v>19</v>
      </c>
      <c r="C19" s="220" t="s">
        <v>477</v>
      </c>
      <c r="D19" s="220" t="s">
        <v>511</v>
      </c>
      <c r="E19" s="220" t="s">
        <v>513</v>
      </c>
      <c r="F19" s="54"/>
      <c r="G19" s="54"/>
      <c r="H19" s="54"/>
    </row>
    <row r="20" spans="1:9">
      <c r="A20" s="215" t="s">
        <v>493</v>
      </c>
      <c r="B20" s="215">
        <f>ROW()</f>
        <v>20</v>
      </c>
      <c r="C20" s="220" t="s">
        <v>477</v>
      </c>
      <c r="D20" s="220" t="s">
        <v>511</v>
      </c>
      <c r="E20" s="220" t="s">
        <v>501</v>
      </c>
      <c r="F20" s="54"/>
      <c r="G20" s="54"/>
      <c r="H20" s="54"/>
    </row>
    <row r="21" spans="1:9">
      <c r="A21" s="215" t="s">
        <v>493</v>
      </c>
      <c r="B21" s="215">
        <f>ROW()</f>
        <v>21</v>
      </c>
      <c r="C21" s="220" t="s">
        <v>477</v>
      </c>
      <c r="D21" s="220" t="s">
        <v>511</v>
      </c>
      <c r="E21" s="220" t="s">
        <v>514</v>
      </c>
      <c r="F21" s="54" t="s">
        <v>409</v>
      </c>
      <c r="G21" s="54" t="s">
        <v>409</v>
      </c>
      <c r="H21" s="54" t="s">
        <v>409</v>
      </c>
    </row>
    <row r="22" spans="1:9">
      <c r="A22" s="215" t="s">
        <v>493</v>
      </c>
      <c r="B22" s="215">
        <f>ROW()</f>
        <v>22</v>
      </c>
      <c r="C22" s="220" t="s">
        <v>477</v>
      </c>
      <c r="D22" s="220" t="s">
        <v>511</v>
      </c>
      <c r="E22" s="220" t="s">
        <v>515</v>
      </c>
      <c r="F22" s="54"/>
      <c r="G22" s="54"/>
      <c r="H22" s="54"/>
    </row>
    <row r="25" spans="1:9" ht="21">
      <c r="B25" s="61" t="s">
        <v>493</v>
      </c>
    </row>
    <row r="26" spans="1:9">
      <c r="A26" s="221" t="s">
        <v>80</v>
      </c>
      <c r="B26" s="222" t="s">
        <v>81</v>
      </c>
      <c r="C26" s="48" t="s">
        <v>83</v>
      </c>
      <c r="D26" s="48" t="s">
        <v>151</v>
      </c>
      <c r="E26" s="48" t="s">
        <v>494</v>
      </c>
      <c r="F26" s="48" t="s">
        <v>516</v>
      </c>
      <c r="G26" s="48" t="s">
        <v>517</v>
      </c>
      <c r="H26" s="48" t="s">
        <v>518</v>
      </c>
    </row>
    <row r="27" spans="1:9">
      <c r="A27" s="215" t="s">
        <v>493</v>
      </c>
      <c r="B27" s="215">
        <f>ROW()</f>
        <v>27</v>
      </c>
      <c r="C27" s="220" t="s">
        <v>519</v>
      </c>
      <c r="D27" s="220" t="s">
        <v>520</v>
      </c>
      <c r="E27" s="220" t="s">
        <v>521</v>
      </c>
      <c r="F27" s="54"/>
      <c r="G27" s="54"/>
      <c r="H27" s="54"/>
      <c r="I27" s="45" t="s">
        <v>522</v>
      </c>
    </row>
    <row r="28" spans="1:9">
      <c r="A28" s="215" t="s">
        <v>493</v>
      </c>
      <c r="B28" s="215">
        <f>ROW()</f>
        <v>28</v>
      </c>
      <c r="C28" s="220" t="s">
        <v>519</v>
      </c>
      <c r="D28" s="220" t="s">
        <v>520</v>
      </c>
      <c r="E28" s="220" t="s">
        <v>523</v>
      </c>
      <c r="F28" s="54"/>
      <c r="G28" s="54"/>
      <c r="H28" s="54"/>
      <c r="I28" s="45" t="s">
        <v>522</v>
      </c>
    </row>
    <row r="29" spans="1:9" ht="15" thickBot="1">
      <c r="A29" s="215" t="s">
        <v>493</v>
      </c>
      <c r="B29" s="215">
        <f>ROW()</f>
        <v>29</v>
      </c>
      <c r="C29" s="220" t="s">
        <v>519</v>
      </c>
      <c r="D29" s="220" t="s">
        <v>520</v>
      </c>
      <c r="E29" s="220" t="s">
        <v>524</v>
      </c>
      <c r="F29" s="54"/>
      <c r="G29" s="54"/>
      <c r="H29" s="54"/>
      <c r="I29" s="45" t="s">
        <v>522</v>
      </c>
    </row>
    <row r="30" spans="1:9" ht="15" thickBot="1">
      <c r="A30" s="215" t="s">
        <v>493</v>
      </c>
      <c r="B30" s="215">
        <f>ROW()</f>
        <v>30</v>
      </c>
      <c r="C30" s="219" t="s">
        <v>519</v>
      </c>
      <c r="D30" s="219" t="s">
        <v>525</v>
      </c>
      <c r="E30" s="219"/>
      <c r="F30" s="193">
        <f>SUM(F27:F29)</f>
        <v>0</v>
      </c>
      <c r="G30" s="193">
        <f>SUM(G27:G29)</f>
        <v>0</v>
      </c>
      <c r="H30" s="193">
        <f t="shared" ref="H30" si="0">SUM(H27:H29)</f>
        <v>0</v>
      </c>
      <c r="I30" s="45" t="s">
        <v>522</v>
      </c>
    </row>
    <row r="31" spans="1:9">
      <c r="C31" s="58"/>
    </row>
    <row r="33" spans="1:9" ht="21">
      <c r="B33" s="61" t="s">
        <v>493</v>
      </c>
    </row>
    <row r="34" spans="1:9">
      <c r="A34" s="221" t="s">
        <v>80</v>
      </c>
      <c r="B34" s="222" t="s">
        <v>81</v>
      </c>
      <c r="C34" s="48" t="s">
        <v>83</v>
      </c>
      <c r="D34" s="48" t="s">
        <v>151</v>
      </c>
      <c r="E34" s="48" t="s">
        <v>90</v>
      </c>
    </row>
    <row r="35" spans="1:9">
      <c r="A35" s="215" t="s">
        <v>493</v>
      </c>
      <c r="B35" s="215">
        <f>ROW()</f>
        <v>35</v>
      </c>
      <c r="C35" s="220" t="s">
        <v>526</v>
      </c>
      <c r="D35" s="220" t="s">
        <v>527</v>
      </c>
      <c r="E35" s="201"/>
    </row>
    <row r="36" spans="1:9">
      <c r="A36" s="215" t="s">
        <v>493</v>
      </c>
      <c r="B36" s="215">
        <f>ROW()</f>
        <v>36</v>
      </c>
      <c r="C36" s="220" t="s">
        <v>526</v>
      </c>
      <c r="D36" s="220" t="s">
        <v>528</v>
      </c>
      <c r="E36" s="201"/>
    </row>
    <row r="37" spans="1:9">
      <c r="A37" s="49"/>
      <c r="B37" s="49"/>
      <c r="C37" s="50"/>
      <c r="D37" s="49"/>
      <c r="E37" s="49"/>
      <c r="F37" s="49"/>
    </row>
    <row r="38" spans="1:9">
      <c r="A38" s="49"/>
      <c r="B38" s="49"/>
      <c r="C38" s="49"/>
      <c r="D38" s="49"/>
      <c r="E38" s="49"/>
    </row>
    <row r="39" spans="1:9" ht="21">
      <c r="B39" s="61" t="s">
        <v>493</v>
      </c>
    </row>
    <row r="40" spans="1:9">
      <c r="A40" s="221" t="s">
        <v>80</v>
      </c>
      <c r="B40" s="222" t="s">
        <v>81</v>
      </c>
      <c r="C40" s="48" t="s">
        <v>83</v>
      </c>
      <c r="D40" s="48" t="s">
        <v>151</v>
      </c>
      <c r="E40" s="48" t="s">
        <v>529</v>
      </c>
      <c r="F40" s="48" t="s">
        <v>530</v>
      </c>
      <c r="G40" s="48" t="s">
        <v>531</v>
      </c>
      <c r="H40" s="48" t="s">
        <v>476</v>
      </c>
    </row>
    <row r="41" spans="1:9">
      <c r="A41" s="215" t="s">
        <v>493</v>
      </c>
      <c r="B41" s="215">
        <f>ROW()</f>
        <v>41</v>
      </c>
      <c r="C41" s="220" t="s">
        <v>520</v>
      </c>
      <c r="D41" s="220" t="s">
        <v>521</v>
      </c>
      <c r="E41" s="54"/>
      <c r="F41" s="54"/>
      <c r="G41" s="54"/>
      <c r="H41" s="59">
        <f>E41+F41+G41</f>
        <v>0</v>
      </c>
      <c r="I41" s="162" t="s">
        <v>532</v>
      </c>
    </row>
    <row r="42" spans="1:9">
      <c r="A42" s="215" t="s">
        <v>493</v>
      </c>
      <c r="B42" s="215">
        <f>ROW()</f>
        <v>42</v>
      </c>
      <c r="C42" s="220" t="s">
        <v>520</v>
      </c>
      <c r="D42" s="220" t="s">
        <v>523</v>
      </c>
      <c r="E42" s="54"/>
      <c r="F42" s="54"/>
      <c r="G42" s="54"/>
      <c r="H42" s="59">
        <f>E42+F42+G42</f>
        <v>0</v>
      </c>
      <c r="I42" s="162" t="s">
        <v>532</v>
      </c>
    </row>
    <row r="43" spans="1:9" ht="15" thickBot="1">
      <c r="A43" s="215" t="s">
        <v>493</v>
      </c>
      <c r="B43" s="215">
        <f>ROW()</f>
        <v>43</v>
      </c>
      <c r="C43" s="220" t="s">
        <v>520</v>
      </c>
      <c r="D43" s="220" t="s">
        <v>524</v>
      </c>
      <c r="E43" s="54"/>
      <c r="F43" s="54"/>
      <c r="G43" s="54"/>
      <c r="H43" s="59">
        <f t="shared" ref="H43" si="1">E43+F43+G43</f>
        <v>0</v>
      </c>
      <c r="I43" s="162" t="s">
        <v>532</v>
      </c>
    </row>
    <row r="44" spans="1:9" ht="15" thickBot="1">
      <c r="A44" s="215" t="s">
        <v>493</v>
      </c>
      <c r="B44" s="215">
        <f>ROW()</f>
        <v>44</v>
      </c>
      <c r="C44" s="219" t="s">
        <v>520</v>
      </c>
      <c r="D44" s="219" t="s">
        <v>476</v>
      </c>
      <c r="E44" s="193">
        <f>SUM(E41:E43)</f>
        <v>0</v>
      </c>
      <c r="F44" s="193">
        <f>SUM(F41:F43)</f>
        <v>0</v>
      </c>
      <c r="G44" s="193">
        <f t="shared" ref="G44" si="2">SUM(G41:G43)</f>
        <v>0</v>
      </c>
      <c r="H44" s="193">
        <f>SUM(H41:H43)</f>
        <v>0</v>
      </c>
      <c r="I44" s="162" t="s">
        <v>532</v>
      </c>
    </row>
    <row r="45" spans="1:9" ht="15" thickBot="1">
      <c r="A45" s="215" t="s">
        <v>493</v>
      </c>
      <c r="B45" s="215">
        <f>ROW()</f>
        <v>45</v>
      </c>
      <c r="C45" s="220" t="s">
        <v>533</v>
      </c>
      <c r="D45" s="220"/>
      <c r="E45" s="194"/>
      <c r="F45" s="194"/>
      <c r="G45" s="194"/>
      <c r="H45" s="54"/>
      <c r="I45" s="162" t="s">
        <v>532</v>
      </c>
    </row>
    <row r="46" spans="1:9" ht="15" thickBot="1">
      <c r="A46" s="215" t="s">
        <v>493</v>
      </c>
      <c r="B46" s="215">
        <f>ROW()</f>
        <v>46</v>
      </c>
      <c r="C46" s="219" t="s">
        <v>534</v>
      </c>
      <c r="D46" s="219"/>
      <c r="E46" s="60"/>
      <c r="F46" s="60"/>
      <c r="G46" s="60"/>
      <c r="H46" s="193">
        <f>H44+H45</f>
        <v>0</v>
      </c>
      <c r="I46" s="162" t="s">
        <v>532</v>
      </c>
    </row>
    <row r="49" spans="1:5" ht="21">
      <c r="B49" s="61" t="s">
        <v>493</v>
      </c>
    </row>
    <row r="50" spans="1:5">
      <c r="A50" s="221" t="s">
        <v>80</v>
      </c>
      <c r="B50" s="222" t="s">
        <v>81</v>
      </c>
      <c r="C50" s="48" t="s">
        <v>83</v>
      </c>
      <c r="D50" s="48" t="s">
        <v>151</v>
      </c>
      <c r="E50" s="48" t="s">
        <v>535</v>
      </c>
    </row>
    <row r="51" spans="1:5">
      <c r="A51" s="215" t="s">
        <v>493</v>
      </c>
      <c r="B51" s="215">
        <f>ROW()</f>
        <v>51</v>
      </c>
      <c r="C51" s="220" t="s">
        <v>536</v>
      </c>
      <c r="D51" s="220"/>
      <c r="E51" s="164"/>
    </row>
    <row r="52" spans="1:5">
      <c r="A52"/>
      <c r="B52" s="239" t="s">
        <v>537</v>
      </c>
      <c r="C52" s="236"/>
      <c r="D52" s="236"/>
      <c r="E52" s="249"/>
    </row>
  </sheetData>
  <dataValidations count="2">
    <dataValidation type="list" allowBlank="1" showInputMessage="1" showErrorMessage="1" sqref="F11:H11" xr:uid="{7C65CE95-8B49-4032-9017-B6CC28BBBD41}">
      <formula1>"[Select one],Category I,Category II,Category III A,Category III B,N/A"</formula1>
    </dataValidation>
    <dataValidation type="list" allowBlank="1" showInputMessage="1" showErrorMessage="1" sqref="F21:H21" xr:uid="{528E8803-51A4-405A-8BA4-8C726436180D}">
      <formula1>"[Select one],Full length,Part length,N/A"</formula1>
    </dataValidation>
  </dataValidations>
  <pageMargins left="0.25" right="0.25" top="0.75" bottom="0.75" header="0.3" footer="0.3"/>
  <pageSetup paperSize="9" scale="42" fitToHeight="0" orientation="portrait" r:id="rId1"/>
  <colBreaks count="1" manualBreakCount="1">
    <brk id="8" max="51" man="1"/>
  </colBreaks>
  <tableParts count="6">
    <tablePart r:id="rId2"/>
    <tablePart r:id="rId3"/>
    <tablePart r:id="rId4"/>
    <tablePart r:id="rId5"/>
    <tablePart r:id="rId6"/>
    <tablePart r:id="rId7"/>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5CA91-D005-4B70-9263-C0F38B25FDFC}">
  <sheetPr>
    <pageSetUpPr fitToPage="1"/>
  </sheetPr>
  <dimension ref="A1:I91"/>
  <sheetViews>
    <sheetView showGridLines="0" view="pageBreakPreview" topLeftCell="B1" zoomScaleNormal="70" zoomScaleSheetLayoutView="100" workbookViewId="0">
      <selection activeCell="F26" sqref="F26"/>
    </sheetView>
  </sheetViews>
  <sheetFormatPr defaultColWidth="8.7265625" defaultRowHeight="14.5"/>
  <cols>
    <col min="1" max="1" width="42" style="56" hidden="1" customWidth="1"/>
    <col min="2" max="2" width="7.7265625" style="56" customWidth="1"/>
    <col min="3" max="3" width="37.26953125" style="56" customWidth="1"/>
    <col min="4" max="4" width="81.81640625" style="56" bestFit="1" customWidth="1"/>
    <col min="5" max="5" width="30.54296875" style="56" customWidth="1"/>
    <col min="6" max="6" width="24.1796875" style="56" bestFit="1" customWidth="1"/>
    <col min="7" max="7" width="24" style="56" bestFit="1" customWidth="1"/>
    <col min="8" max="8" width="20.7265625" style="56" bestFit="1" customWidth="1"/>
    <col min="9" max="9" width="19.7265625" style="56" customWidth="1"/>
    <col min="10" max="10" width="15.26953125" style="56" customWidth="1"/>
    <col min="11" max="16384" width="8.7265625" style="56"/>
  </cols>
  <sheetData>
    <row r="1" spans="1:8" ht="23.5">
      <c r="B1" s="1" t="str">
        <f>_company_name&amp;"    |     Pricing period starting year - "&amp;TEXT(_pp_starting_year,"dd mmmm yyyy")&amp;"    |     Disclosure year - "&amp;TEXT(_dy_year_ended,"yyyy")</f>
        <v>[select name of the airport]    |     Pricing period starting year - 30 June 2023    |     Disclosure year - 2026</v>
      </c>
    </row>
    <row r="3" spans="1:8" ht="23.5">
      <c r="B3" s="1" t="s">
        <v>538</v>
      </c>
    </row>
    <row r="4" spans="1:8" ht="21">
      <c r="B4" s="61" t="s">
        <v>539</v>
      </c>
    </row>
    <row r="5" spans="1:8">
      <c r="A5" s="221" t="s">
        <v>80</v>
      </c>
      <c r="B5" s="222" t="s">
        <v>81</v>
      </c>
      <c r="C5" s="5" t="s">
        <v>151</v>
      </c>
      <c r="D5" s="5" t="s">
        <v>494</v>
      </c>
      <c r="E5" s="5" t="s">
        <v>540</v>
      </c>
      <c r="F5" s="5" t="s">
        <v>541</v>
      </c>
      <c r="G5" s="5" t="s">
        <v>542</v>
      </c>
      <c r="H5" s="7" t="s">
        <v>543</v>
      </c>
    </row>
    <row r="6" spans="1:8" ht="14.65" customHeight="1">
      <c r="A6" s="215" t="s">
        <v>544</v>
      </c>
      <c r="B6" s="215">
        <f>ROW()</f>
        <v>6</v>
      </c>
      <c r="C6" s="256" t="s">
        <v>751</v>
      </c>
      <c r="D6" s="220" t="s">
        <v>545</v>
      </c>
      <c r="E6" s="220"/>
      <c r="F6" s="202"/>
      <c r="G6" s="203"/>
      <c r="H6" s="203"/>
    </row>
    <row r="7" spans="1:8" ht="14.65" customHeight="1">
      <c r="A7" s="215" t="s">
        <v>544</v>
      </c>
      <c r="B7" s="215">
        <f>ROW()</f>
        <v>7</v>
      </c>
      <c r="C7" s="256" t="s">
        <v>751</v>
      </c>
      <c r="D7" s="220" t="s">
        <v>546</v>
      </c>
      <c r="E7" s="220"/>
      <c r="F7" s="203"/>
      <c r="G7" s="203"/>
      <c r="H7" s="203"/>
    </row>
    <row r="8" spans="1:8" ht="14.65" customHeight="1">
      <c r="A8" s="215" t="s">
        <v>544</v>
      </c>
      <c r="B8" s="215">
        <f>ROW()</f>
        <v>8</v>
      </c>
      <c r="C8" s="256" t="s">
        <v>751</v>
      </c>
      <c r="D8" s="220" t="s">
        <v>547</v>
      </c>
      <c r="E8" s="220"/>
      <c r="F8" s="203"/>
      <c r="G8" s="203"/>
      <c r="H8" s="203"/>
    </row>
    <row r="9" spans="1:8" ht="14.65" customHeight="1">
      <c r="A9" s="215" t="s">
        <v>544</v>
      </c>
      <c r="B9" s="215">
        <f>ROW()</f>
        <v>9</v>
      </c>
      <c r="C9" s="219" t="s">
        <v>751</v>
      </c>
      <c r="D9" s="219" t="s">
        <v>548</v>
      </c>
      <c r="E9" s="219"/>
      <c r="F9" s="47" t="str">
        <f>IF(F7,100*F8/F7,"Not defined")</f>
        <v>Not defined</v>
      </c>
      <c r="G9" s="47" t="str">
        <f>IF(G7,100*G8/G7,"Not defined")</f>
        <v>Not defined</v>
      </c>
      <c r="H9" s="47" t="str">
        <f>IF(H7,100*H8/H7,"Not defined")</f>
        <v>Not defined</v>
      </c>
    </row>
    <row r="10" spans="1:8">
      <c r="A10" s="215" t="s">
        <v>544</v>
      </c>
      <c r="B10" s="215">
        <f>ROW()</f>
        <v>10</v>
      </c>
      <c r="C10" s="220" t="s">
        <v>549</v>
      </c>
      <c r="D10" s="220" t="s">
        <v>550</v>
      </c>
      <c r="E10" s="220"/>
      <c r="F10" s="203"/>
      <c r="G10" s="203"/>
      <c r="H10" s="203"/>
    </row>
    <row r="11" spans="1:8">
      <c r="A11" s="215" t="s">
        <v>544</v>
      </c>
      <c r="B11" s="215">
        <f>ROW()</f>
        <v>11</v>
      </c>
      <c r="C11" s="220" t="s">
        <v>549</v>
      </c>
      <c r="D11" s="220" t="s">
        <v>546</v>
      </c>
      <c r="E11" s="220"/>
      <c r="F11" s="203"/>
      <c r="G11" s="203"/>
      <c r="H11" s="203"/>
    </row>
    <row r="12" spans="1:8">
      <c r="A12" s="215" t="s">
        <v>544</v>
      </c>
      <c r="B12" s="215">
        <f>ROW()</f>
        <v>12</v>
      </c>
      <c r="C12" s="220" t="s">
        <v>549</v>
      </c>
      <c r="D12" s="220" t="s">
        <v>547</v>
      </c>
      <c r="E12" s="220"/>
      <c r="F12" s="203"/>
      <c r="G12" s="203"/>
      <c r="H12" s="203"/>
    </row>
    <row r="13" spans="1:8">
      <c r="A13" s="215" t="s">
        <v>544</v>
      </c>
      <c r="B13" s="215">
        <f>ROW()</f>
        <v>13</v>
      </c>
      <c r="C13" s="219" t="s">
        <v>549</v>
      </c>
      <c r="D13" s="219" t="s">
        <v>548</v>
      </c>
      <c r="E13" s="219"/>
      <c r="F13" s="47" t="str">
        <f>IF(F11,100*F12/F11,"Not defined")</f>
        <v>Not defined</v>
      </c>
      <c r="G13" s="47" t="str">
        <f>IF(G11,100*G12/G11,"Not defined")</f>
        <v>Not defined</v>
      </c>
      <c r="H13" s="47" t="str">
        <f>IF(H11,100*H12/H11,"Not defined")</f>
        <v>Not defined</v>
      </c>
    </row>
    <row r="14" spans="1:8">
      <c r="A14" s="215" t="s">
        <v>544</v>
      </c>
      <c r="B14" s="215">
        <f>ROW()</f>
        <v>14</v>
      </c>
      <c r="C14" s="220" t="s">
        <v>551</v>
      </c>
      <c r="D14" s="220" t="s">
        <v>552</v>
      </c>
      <c r="E14" s="220"/>
      <c r="F14" s="203"/>
      <c r="G14" s="203"/>
      <c r="H14" s="203"/>
    </row>
    <row r="15" spans="1:8">
      <c r="A15" s="215" t="s">
        <v>544</v>
      </c>
      <c r="B15" s="215">
        <f>ROW()</f>
        <v>15</v>
      </c>
      <c r="C15" s="220" t="s">
        <v>551</v>
      </c>
      <c r="D15" s="220" t="s">
        <v>553</v>
      </c>
      <c r="E15" s="220"/>
      <c r="F15" s="203"/>
      <c r="G15" s="203"/>
      <c r="H15" s="203"/>
    </row>
    <row r="16" spans="1:8">
      <c r="A16" s="215" t="s">
        <v>544</v>
      </c>
      <c r="B16" s="215">
        <f>ROW()</f>
        <v>16</v>
      </c>
      <c r="C16" s="220" t="s">
        <v>551</v>
      </c>
      <c r="D16" s="220" t="s">
        <v>554</v>
      </c>
      <c r="E16" s="220"/>
      <c r="F16" s="203"/>
      <c r="G16" s="203"/>
      <c r="H16" s="203"/>
    </row>
    <row r="17" spans="1:9">
      <c r="A17" s="215" t="s">
        <v>544</v>
      </c>
      <c r="B17" s="215">
        <f>ROW()</f>
        <v>17</v>
      </c>
      <c r="C17" s="220" t="s">
        <v>551</v>
      </c>
      <c r="D17" s="220" t="s">
        <v>555</v>
      </c>
      <c r="E17" s="220"/>
      <c r="F17" s="203"/>
      <c r="G17" s="203"/>
      <c r="H17" s="203"/>
    </row>
    <row r="18" spans="1:9">
      <c r="A18" s="215" t="s">
        <v>544</v>
      </c>
      <c r="B18" s="215">
        <f>ROW()</f>
        <v>18</v>
      </c>
      <c r="C18" s="220" t="s">
        <v>551</v>
      </c>
      <c r="D18" s="220" t="s">
        <v>547</v>
      </c>
      <c r="E18" s="220"/>
      <c r="F18" s="203"/>
      <c r="G18" s="203"/>
      <c r="H18" s="203"/>
    </row>
    <row r="19" spans="1:9">
      <c r="A19" s="215" t="s">
        <v>544</v>
      </c>
      <c r="B19" s="215">
        <f>ROW()</f>
        <v>19</v>
      </c>
      <c r="C19" s="219" t="s">
        <v>551</v>
      </c>
      <c r="D19" s="219" t="s">
        <v>556</v>
      </c>
      <c r="E19" s="219"/>
      <c r="F19" s="62" t="str">
        <f>IF(F16,F17/F16,"Not defined")</f>
        <v>Not defined</v>
      </c>
      <c r="G19" s="62" t="str">
        <f>IF(G16,G17/G16,"Not defined")</f>
        <v>Not defined</v>
      </c>
      <c r="H19" s="62" t="str">
        <f>IF(H16,H17/H16,"Not defined")</f>
        <v>Not defined</v>
      </c>
      <c r="I19" s="16" t="s">
        <v>557</v>
      </c>
    </row>
    <row r="20" spans="1:9">
      <c r="A20" s="215" t="s">
        <v>544</v>
      </c>
      <c r="B20" s="215">
        <f>ROW()</f>
        <v>20</v>
      </c>
      <c r="C20" s="220" t="s">
        <v>558</v>
      </c>
      <c r="D20" s="220" t="s">
        <v>559</v>
      </c>
      <c r="E20" s="220"/>
      <c r="F20" s="202"/>
      <c r="G20" s="10"/>
      <c r="H20" s="10"/>
    </row>
    <row r="21" spans="1:9">
      <c r="A21" s="215" t="s">
        <v>544</v>
      </c>
      <c r="B21" s="215">
        <f>ROW()</f>
        <v>21</v>
      </c>
      <c r="C21" s="220" t="s">
        <v>558</v>
      </c>
      <c r="D21" s="220" t="s">
        <v>546</v>
      </c>
      <c r="E21" s="220"/>
      <c r="F21" s="54"/>
      <c r="G21" s="10"/>
      <c r="H21" s="10"/>
    </row>
    <row r="22" spans="1:9">
      <c r="A22" s="215" t="s">
        <v>544</v>
      </c>
      <c r="B22" s="215">
        <f>ROW()</f>
        <v>22</v>
      </c>
      <c r="C22" s="220" t="s">
        <v>558</v>
      </c>
      <c r="D22" s="220" t="s">
        <v>560</v>
      </c>
      <c r="E22" s="220"/>
      <c r="F22" s="54"/>
      <c r="G22" s="10"/>
      <c r="H22" s="10"/>
    </row>
    <row r="23" spans="1:9">
      <c r="A23" s="215" t="s">
        <v>544</v>
      </c>
      <c r="B23" s="215">
        <f>ROW()</f>
        <v>23</v>
      </c>
      <c r="C23" s="220" t="s">
        <v>558</v>
      </c>
      <c r="D23" s="220" t="s">
        <v>561</v>
      </c>
      <c r="E23" s="220"/>
      <c r="F23" s="54"/>
      <c r="G23" s="10"/>
      <c r="H23" s="10"/>
    </row>
    <row r="24" spans="1:9">
      <c r="A24" s="215" t="s">
        <v>544</v>
      </c>
      <c r="B24" s="215">
        <f>ROW()</f>
        <v>24</v>
      </c>
      <c r="C24" s="220" t="s">
        <v>558</v>
      </c>
      <c r="D24" s="220" t="s">
        <v>547</v>
      </c>
      <c r="E24" s="220"/>
      <c r="F24" s="54"/>
      <c r="G24" s="10"/>
      <c r="H24" s="10"/>
    </row>
    <row r="25" spans="1:9">
      <c r="A25" s="215" t="s">
        <v>544</v>
      </c>
      <c r="B25" s="215">
        <f>ROW()</f>
        <v>25</v>
      </c>
      <c r="C25" s="219" t="s">
        <v>558</v>
      </c>
      <c r="D25" s="219" t="s">
        <v>548</v>
      </c>
      <c r="E25" s="219"/>
      <c r="F25" s="47" t="str">
        <f>IF(F21,100*F24/F21,"Not defined")</f>
        <v>Not defined</v>
      </c>
      <c r="G25" s="10"/>
      <c r="H25" s="10"/>
    </row>
    <row r="26" spans="1:9">
      <c r="A26" s="215" t="s">
        <v>544</v>
      </c>
      <c r="B26" s="215">
        <f>ROW()</f>
        <v>26</v>
      </c>
      <c r="C26" s="219" t="s">
        <v>558</v>
      </c>
      <c r="D26" s="219" t="s">
        <v>556</v>
      </c>
      <c r="E26" s="219"/>
      <c r="F26" s="62" t="str">
        <f>IF(F23,F24/F23,"Not defined")</f>
        <v>Not defined</v>
      </c>
      <c r="G26" s="10"/>
      <c r="H26" s="10"/>
      <c r="I26" s="16" t="s">
        <v>562</v>
      </c>
    </row>
    <row r="27" spans="1:9" s="266" customFormat="1">
      <c r="A27" s="281" t="s">
        <v>544</v>
      </c>
      <c r="B27" s="281">
        <f>ROW()</f>
        <v>27</v>
      </c>
      <c r="C27" s="274" t="s">
        <v>563</v>
      </c>
      <c r="D27" s="274" t="s">
        <v>564</v>
      </c>
      <c r="E27" s="271"/>
      <c r="F27" s="272"/>
      <c r="G27" s="272"/>
      <c r="H27" s="273"/>
    </row>
    <row r="28" spans="1:9" s="266" customFormat="1">
      <c r="A28" s="281" t="s">
        <v>544</v>
      </c>
      <c r="B28" s="281">
        <f>ROW()</f>
        <v>28</v>
      </c>
      <c r="C28" s="274" t="s">
        <v>563</v>
      </c>
      <c r="D28" s="274" t="s">
        <v>565</v>
      </c>
      <c r="E28" s="282" t="s">
        <v>546</v>
      </c>
      <c r="F28" s="280"/>
      <c r="G28" s="280"/>
      <c r="H28" s="273"/>
    </row>
    <row r="29" spans="1:9" s="266" customFormat="1">
      <c r="A29" s="281" t="s">
        <v>544</v>
      </c>
      <c r="B29" s="281">
        <f>ROW()</f>
        <v>29</v>
      </c>
      <c r="C29" s="274" t="s">
        <v>563</v>
      </c>
      <c r="D29" s="274" t="s">
        <v>565</v>
      </c>
      <c r="E29" s="271" t="s">
        <v>566</v>
      </c>
      <c r="F29" s="280"/>
      <c r="G29" s="280"/>
      <c r="H29" s="273"/>
    </row>
    <row r="30" spans="1:9" s="266" customFormat="1" ht="43.5">
      <c r="A30" s="281" t="s">
        <v>544</v>
      </c>
      <c r="B30" s="281">
        <f>ROW()</f>
        <v>30</v>
      </c>
      <c r="C30" s="274" t="s">
        <v>563</v>
      </c>
      <c r="D30" s="274" t="s">
        <v>565</v>
      </c>
      <c r="E30" s="271" t="s">
        <v>561</v>
      </c>
      <c r="F30" s="280"/>
      <c r="G30" s="280"/>
      <c r="H30" s="273"/>
    </row>
    <row r="31" spans="1:9" s="266" customFormat="1">
      <c r="A31" s="281" t="s">
        <v>544</v>
      </c>
      <c r="B31" s="281">
        <f>ROW()</f>
        <v>31</v>
      </c>
      <c r="C31" s="274" t="s">
        <v>563</v>
      </c>
      <c r="D31" s="274" t="s">
        <v>547</v>
      </c>
      <c r="E31" s="271"/>
      <c r="F31" s="280"/>
      <c r="G31" s="280"/>
      <c r="H31" s="273"/>
    </row>
    <row r="32" spans="1:9" s="266" customFormat="1">
      <c r="A32" s="281" t="s">
        <v>544</v>
      </c>
      <c r="B32" s="281">
        <f>ROW()</f>
        <v>32</v>
      </c>
      <c r="C32" s="277" t="s">
        <v>563</v>
      </c>
      <c r="D32" s="277" t="s">
        <v>548</v>
      </c>
      <c r="E32" s="276"/>
      <c r="F32" s="279" t="str">
        <f>IF(F28,100*F31/F28,"Not defined")</f>
        <v>Not defined</v>
      </c>
      <c r="G32" s="279" t="str">
        <f>IF(G28,100*G31/G28,"Not defined")</f>
        <v>Not defined</v>
      </c>
      <c r="H32" s="273"/>
    </row>
    <row r="33" spans="1:9" s="266" customFormat="1">
      <c r="A33" s="281" t="s">
        <v>544</v>
      </c>
      <c r="B33" s="281">
        <f>ROW()</f>
        <v>33</v>
      </c>
      <c r="C33" s="277" t="s">
        <v>563</v>
      </c>
      <c r="D33" s="277" t="s">
        <v>556</v>
      </c>
      <c r="E33" s="276"/>
      <c r="F33" s="278" t="str">
        <f>IF(F30,F31/F30,"Not defined")</f>
        <v>Not defined</v>
      </c>
      <c r="G33" s="278" t="str">
        <f>IF(G30,G31/G30,"Not defined")</f>
        <v>Not defined</v>
      </c>
      <c r="H33" s="273"/>
    </row>
    <row r="34" spans="1:9" s="266" customFormat="1">
      <c r="A34" s="281" t="s">
        <v>544</v>
      </c>
      <c r="B34" s="281">
        <f>ROW()</f>
        <v>34</v>
      </c>
      <c r="C34" s="274" t="s">
        <v>563</v>
      </c>
      <c r="D34" s="274" t="s">
        <v>567</v>
      </c>
      <c r="E34" s="271" t="s">
        <v>546</v>
      </c>
      <c r="F34" s="280"/>
      <c r="G34" s="273"/>
      <c r="H34" s="273"/>
    </row>
    <row r="35" spans="1:9" s="266" customFormat="1">
      <c r="A35" s="281" t="s">
        <v>544</v>
      </c>
      <c r="B35" s="281">
        <f>ROW()</f>
        <v>35</v>
      </c>
      <c r="C35" s="274" t="s">
        <v>563</v>
      </c>
      <c r="D35" s="274" t="s">
        <v>567</v>
      </c>
      <c r="E35" s="271" t="s">
        <v>566</v>
      </c>
      <c r="F35" s="280"/>
      <c r="G35" s="273"/>
      <c r="H35" s="273"/>
    </row>
    <row r="36" spans="1:9" s="266" customFormat="1" ht="43.5">
      <c r="A36" s="281" t="s">
        <v>544</v>
      </c>
      <c r="B36" s="281">
        <f>ROW()</f>
        <v>36</v>
      </c>
      <c r="C36" s="274" t="s">
        <v>563</v>
      </c>
      <c r="D36" s="274" t="s">
        <v>567</v>
      </c>
      <c r="E36" s="271" t="s">
        <v>568</v>
      </c>
      <c r="F36" s="280"/>
      <c r="G36" s="273"/>
      <c r="H36" s="273"/>
    </row>
    <row r="37" spans="1:9" s="266" customFormat="1" ht="43.5">
      <c r="A37" s="281" t="s">
        <v>544</v>
      </c>
      <c r="B37" s="281">
        <f>ROW()</f>
        <v>37</v>
      </c>
      <c r="C37" s="274" t="s">
        <v>563</v>
      </c>
      <c r="D37" s="274" t="s">
        <v>567</v>
      </c>
      <c r="E37" s="271" t="s">
        <v>569</v>
      </c>
      <c r="F37" s="280"/>
      <c r="G37" s="273"/>
      <c r="H37" s="273"/>
    </row>
    <row r="38" spans="1:9">
      <c r="A38" s="215" t="s">
        <v>544</v>
      </c>
      <c r="B38" s="215">
        <f>ROW()</f>
        <v>38</v>
      </c>
      <c r="C38" s="219" t="s">
        <v>563</v>
      </c>
      <c r="D38" s="219" t="s">
        <v>548</v>
      </c>
      <c r="E38" s="270"/>
      <c r="F38" s="47" t="str">
        <f>IF(F34,100*F37/F34,"Not defined")</f>
        <v>Not defined</v>
      </c>
      <c r="G38" s="10"/>
      <c r="H38" s="10"/>
    </row>
    <row r="39" spans="1:9">
      <c r="A39" s="215" t="s">
        <v>544</v>
      </c>
      <c r="B39" s="215">
        <f>ROW()</f>
        <v>39</v>
      </c>
      <c r="C39" s="219" t="s">
        <v>563</v>
      </c>
      <c r="D39" s="219" t="s">
        <v>556</v>
      </c>
      <c r="E39" s="270"/>
      <c r="F39" s="62" t="str">
        <f>IF(F36,F37/F36,"Not defined")</f>
        <v>Not defined</v>
      </c>
      <c r="G39" s="10"/>
      <c r="H39" s="10"/>
      <c r="I39" s="16" t="s">
        <v>562</v>
      </c>
    </row>
    <row r="40" spans="1:9">
      <c r="A40" s="215" t="s">
        <v>544</v>
      </c>
      <c r="B40" s="215">
        <f>ROW()</f>
        <v>40</v>
      </c>
      <c r="C40" s="220" t="s">
        <v>570</v>
      </c>
      <c r="D40" s="220" t="s">
        <v>571</v>
      </c>
      <c r="E40" s="220"/>
      <c r="F40" s="204"/>
      <c r="G40" s="204"/>
      <c r="H40" s="10"/>
    </row>
    <row r="41" spans="1:9">
      <c r="A41" s="215" t="s">
        <v>544</v>
      </c>
      <c r="B41" s="215">
        <f>ROW()</f>
        <v>41</v>
      </c>
      <c r="C41" s="220" t="s">
        <v>570</v>
      </c>
      <c r="D41" s="220" t="s">
        <v>546</v>
      </c>
      <c r="E41" s="220"/>
      <c r="F41" s="204"/>
      <c r="G41" s="204"/>
      <c r="H41" s="10"/>
    </row>
    <row r="42" spans="1:9">
      <c r="A42" s="215" t="s">
        <v>544</v>
      </c>
      <c r="B42" s="215">
        <f>ROW()</f>
        <v>42</v>
      </c>
      <c r="C42" s="220" t="s">
        <v>570</v>
      </c>
      <c r="D42" s="220" t="s">
        <v>547</v>
      </c>
      <c r="E42" s="220"/>
      <c r="F42" s="204"/>
      <c r="G42" s="204"/>
      <c r="H42" s="10"/>
    </row>
    <row r="43" spans="1:9">
      <c r="A43" s="215" t="s">
        <v>544</v>
      </c>
      <c r="B43" s="215">
        <f>ROW()</f>
        <v>43</v>
      </c>
      <c r="C43" s="219" t="s">
        <v>570</v>
      </c>
      <c r="D43" s="219" t="s">
        <v>548</v>
      </c>
      <c r="E43" s="219"/>
      <c r="F43" s="47" t="str">
        <f>IF(F41,100*F42/F41,"Not defined")</f>
        <v>Not defined</v>
      </c>
      <c r="G43" s="9" t="str">
        <f>IF(G41,100*G42/G41,"Not defined")</f>
        <v>Not defined</v>
      </c>
      <c r="H43" s="10"/>
    </row>
    <row r="44" spans="1:9">
      <c r="A44" s="215" t="s">
        <v>544</v>
      </c>
      <c r="B44" s="215">
        <f>ROW()</f>
        <v>44</v>
      </c>
      <c r="C44" s="220" t="s">
        <v>572</v>
      </c>
      <c r="D44" s="220" t="s">
        <v>573</v>
      </c>
      <c r="E44" s="220"/>
      <c r="F44" s="204"/>
      <c r="G44" s="204"/>
      <c r="H44" s="10"/>
    </row>
    <row r="45" spans="1:9">
      <c r="A45" s="215" t="s">
        <v>544</v>
      </c>
      <c r="B45" s="215">
        <f>ROW()</f>
        <v>45</v>
      </c>
      <c r="C45" s="220" t="s">
        <v>572</v>
      </c>
      <c r="D45" s="220" t="s">
        <v>546</v>
      </c>
      <c r="E45" s="220"/>
      <c r="F45" s="204"/>
      <c r="G45" s="204"/>
      <c r="H45" s="10"/>
    </row>
    <row r="46" spans="1:9">
      <c r="A46" s="215" t="s">
        <v>544</v>
      </c>
      <c r="B46" s="215">
        <f>ROW()</f>
        <v>46</v>
      </c>
      <c r="C46" s="220" t="s">
        <v>572</v>
      </c>
      <c r="D46" s="220" t="s">
        <v>574</v>
      </c>
      <c r="E46" s="220"/>
      <c r="F46" s="204"/>
      <c r="G46" s="204"/>
      <c r="H46" s="10"/>
    </row>
    <row r="47" spans="1:9">
      <c r="A47" s="215" t="s">
        <v>544</v>
      </c>
      <c r="B47" s="215">
        <f>ROW()</f>
        <v>47</v>
      </c>
      <c r="C47" s="220" t="s">
        <v>572</v>
      </c>
      <c r="D47" s="220" t="s">
        <v>547</v>
      </c>
      <c r="E47" s="220"/>
      <c r="F47" s="204"/>
      <c r="G47" s="204"/>
      <c r="H47" s="10"/>
    </row>
    <row r="48" spans="1:9">
      <c r="A48" s="215" t="s">
        <v>544</v>
      </c>
      <c r="B48" s="215">
        <f>ROW()</f>
        <v>48</v>
      </c>
      <c r="C48" s="219" t="s">
        <v>572</v>
      </c>
      <c r="D48" s="219" t="s">
        <v>548</v>
      </c>
      <c r="E48" s="219"/>
      <c r="F48" s="47" t="str">
        <f>IF(F45,100*F47/F45,"Not defined")</f>
        <v>Not defined</v>
      </c>
      <c r="G48" s="9" t="str">
        <f>IF(G45,100*G47/G45,"Not defined")</f>
        <v>Not defined</v>
      </c>
      <c r="H48" s="10"/>
    </row>
    <row r="49" spans="1:9">
      <c r="A49" s="215" t="s">
        <v>544</v>
      </c>
      <c r="B49" s="215">
        <f>ROW()</f>
        <v>49</v>
      </c>
      <c r="C49" s="219" t="s">
        <v>572</v>
      </c>
      <c r="D49" s="219" t="s">
        <v>575</v>
      </c>
      <c r="E49" s="219"/>
      <c r="F49" s="47" t="str">
        <f>IF(F46,F47/F46,"Not defined")</f>
        <v>Not defined</v>
      </c>
      <c r="G49" s="9" t="str">
        <f>IF(G46,G47/G46,"Not defined")</f>
        <v>Not defined</v>
      </c>
      <c r="H49" s="10"/>
    </row>
    <row r="50" spans="1:9">
      <c r="A50"/>
      <c r="B50" s="45" t="s">
        <v>576</v>
      </c>
      <c r="C50"/>
      <c r="D50"/>
      <c r="E50"/>
      <c r="F50"/>
      <c r="G50" s="38"/>
      <c r="H50" s="38"/>
      <c r="I50" s="38"/>
    </row>
    <row r="51" spans="1:9">
      <c r="A51" s="16"/>
    </row>
    <row r="53" spans="1:9" ht="21">
      <c r="B53" s="61" t="s">
        <v>577</v>
      </c>
    </row>
    <row r="54" spans="1:9">
      <c r="A54" s="221" t="s">
        <v>80</v>
      </c>
      <c r="B54" s="222" t="s">
        <v>81</v>
      </c>
      <c r="C54" s="5" t="s">
        <v>151</v>
      </c>
      <c r="D54" s="5" t="s">
        <v>494</v>
      </c>
      <c r="E54" s="5" t="s">
        <v>540</v>
      </c>
      <c r="F54" s="5" t="s">
        <v>541</v>
      </c>
      <c r="G54" s="5" t="s">
        <v>542</v>
      </c>
      <c r="H54" s="8" t="s">
        <v>543</v>
      </c>
    </row>
    <row r="55" spans="1:9">
      <c r="A55" s="215" t="s">
        <v>578</v>
      </c>
      <c r="B55" s="215">
        <f>ROW()</f>
        <v>55</v>
      </c>
      <c r="C55" s="220" t="s">
        <v>579</v>
      </c>
      <c r="D55" s="220" t="s">
        <v>580</v>
      </c>
      <c r="E55" s="220"/>
      <c r="F55" s="202"/>
      <c r="G55" s="202"/>
      <c r="H55" s="202"/>
      <c r="I55" s="51"/>
    </row>
    <row r="56" spans="1:9">
      <c r="A56" s="215" t="s">
        <v>578</v>
      </c>
      <c r="B56" s="215">
        <f>ROW()</f>
        <v>56</v>
      </c>
      <c r="C56" s="220" t="s">
        <v>579</v>
      </c>
      <c r="D56" s="220" t="s">
        <v>546</v>
      </c>
      <c r="E56" s="220"/>
      <c r="F56" s="204"/>
      <c r="G56" s="204"/>
      <c r="H56" s="204"/>
    </row>
    <row r="57" spans="1:9">
      <c r="A57" s="215" t="s">
        <v>578</v>
      </c>
      <c r="B57" s="215">
        <f>ROW()</f>
        <v>57</v>
      </c>
      <c r="C57" s="220" t="s">
        <v>579</v>
      </c>
      <c r="D57" s="220" t="s">
        <v>547</v>
      </c>
      <c r="E57" s="220"/>
      <c r="F57" s="204"/>
      <c r="G57" s="204"/>
      <c r="H57" s="204"/>
    </row>
    <row r="58" spans="1:9">
      <c r="A58" s="215" t="s">
        <v>578</v>
      </c>
      <c r="B58" s="215">
        <f>ROW()</f>
        <v>58</v>
      </c>
      <c r="C58" s="219" t="s">
        <v>579</v>
      </c>
      <c r="D58" s="219" t="s">
        <v>548</v>
      </c>
      <c r="E58" s="219"/>
      <c r="F58" s="63" t="str">
        <f>IF(F56,100*F57/F56,"Not defined")</f>
        <v>Not defined</v>
      </c>
      <c r="G58" s="63" t="str">
        <f>IF(G56,100*G57/G56,"Not defined")</f>
        <v>Not defined</v>
      </c>
      <c r="H58" s="63" t="str">
        <f t="shared" ref="H58" si="0">IF(H56,100*H57/H56,"Not defined")</f>
        <v>Not defined</v>
      </c>
    </row>
    <row r="59" spans="1:9">
      <c r="A59" s="215" t="s">
        <v>578</v>
      </c>
      <c r="B59" s="215">
        <f>ROW()</f>
        <v>59</v>
      </c>
      <c r="C59" s="220" t="s">
        <v>581</v>
      </c>
      <c r="D59" s="220" t="s">
        <v>582</v>
      </c>
      <c r="E59" s="220"/>
      <c r="F59" s="202"/>
      <c r="G59" s="10"/>
      <c r="H59" s="10"/>
    </row>
    <row r="60" spans="1:9">
      <c r="A60" s="215" t="s">
        <v>578</v>
      </c>
      <c r="B60" s="215">
        <f>ROW()</f>
        <v>60</v>
      </c>
      <c r="C60" s="220" t="s">
        <v>581</v>
      </c>
      <c r="D60" s="220" t="s">
        <v>546</v>
      </c>
      <c r="E60" s="220"/>
      <c r="F60" s="204"/>
      <c r="G60" s="10"/>
      <c r="H60" s="10"/>
    </row>
    <row r="61" spans="1:9">
      <c r="A61" s="215" t="s">
        <v>578</v>
      </c>
      <c r="B61" s="215">
        <f>ROW()</f>
        <v>61</v>
      </c>
      <c r="C61" s="220" t="s">
        <v>581</v>
      </c>
      <c r="D61" s="220" t="s">
        <v>583</v>
      </c>
      <c r="E61" s="220"/>
      <c r="F61" s="204"/>
      <c r="G61" s="10"/>
      <c r="H61" s="10"/>
    </row>
    <row r="62" spans="1:9">
      <c r="A62" s="215" t="s">
        <v>578</v>
      </c>
      <c r="B62" s="215">
        <f>ROW()</f>
        <v>62</v>
      </c>
      <c r="C62" s="220" t="s">
        <v>581</v>
      </c>
      <c r="D62" s="220" t="s">
        <v>561</v>
      </c>
      <c r="E62" s="220"/>
      <c r="F62" s="204"/>
      <c r="G62" s="10"/>
      <c r="H62" s="10"/>
    </row>
    <row r="63" spans="1:9">
      <c r="A63" s="215" t="s">
        <v>578</v>
      </c>
      <c r="B63" s="215">
        <f>ROW()</f>
        <v>63</v>
      </c>
      <c r="C63" s="220" t="s">
        <v>581</v>
      </c>
      <c r="D63" s="220" t="s">
        <v>547</v>
      </c>
      <c r="E63" s="220"/>
      <c r="F63" s="204"/>
      <c r="G63" s="10"/>
      <c r="H63" s="10"/>
    </row>
    <row r="64" spans="1:9">
      <c r="A64" s="215" t="s">
        <v>578</v>
      </c>
      <c r="B64" s="215">
        <f>ROW()</f>
        <v>64</v>
      </c>
      <c r="C64" s="219" t="s">
        <v>581</v>
      </c>
      <c r="D64" s="219" t="s">
        <v>548</v>
      </c>
      <c r="E64" s="219"/>
      <c r="F64" s="47" t="str">
        <f>IF(F60,100*F63/F60,"Not defined")</f>
        <v>Not defined</v>
      </c>
      <c r="G64" s="10"/>
      <c r="H64" s="10"/>
    </row>
    <row r="65" spans="1:9">
      <c r="A65" s="215" t="s">
        <v>578</v>
      </c>
      <c r="B65" s="215">
        <f>ROW()</f>
        <v>65</v>
      </c>
      <c r="C65" s="219" t="s">
        <v>581</v>
      </c>
      <c r="D65" s="219" t="s">
        <v>556</v>
      </c>
      <c r="E65" s="219"/>
      <c r="F65" s="62" t="str">
        <f>IF(F62,F63/F62,"Not defined")</f>
        <v>Not defined</v>
      </c>
      <c r="G65" s="10"/>
      <c r="H65" s="10"/>
      <c r="I65" s="16" t="s">
        <v>562</v>
      </c>
    </row>
    <row r="66" spans="1:9">
      <c r="A66" s="215" t="s">
        <v>578</v>
      </c>
      <c r="B66" s="215">
        <f>ROW()</f>
        <v>66</v>
      </c>
      <c r="C66" s="220" t="s">
        <v>584</v>
      </c>
      <c r="D66" s="220" t="s">
        <v>585</v>
      </c>
      <c r="E66" s="220"/>
      <c r="F66" s="202"/>
      <c r="G66" s="202"/>
      <c r="H66" s="202"/>
    </row>
    <row r="67" spans="1:9">
      <c r="A67" s="215" t="s">
        <v>578</v>
      </c>
      <c r="B67" s="215">
        <f>ROW()</f>
        <v>67</v>
      </c>
      <c r="C67" s="220" t="s">
        <v>584</v>
      </c>
      <c r="D67" s="220" t="s">
        <v>546</v>
      </c>
      <c r="E67" s="220"/>
      <c r="F67" s="54"/>
      <c r="G67" s="54"/>
      <c r="H67" s="54"/>
      <c r="I67" s="51"/>
    </row>
    <row r="68" spans="1:9">
      <c r="A68" s="215" t="s">
        <v>578</v>
      </c>
      <c r="B68" s="215">
        <f>ROW()</f>
        <v>68</v>
      </c>
      <c r="C68" s="220" t="s">
        <v>584</v>
      </c>
      <c r="D68" s="220" t="s">
        <v>547</v>
      </c>
      <c r="E68" s="220"/>
      <c r="F68" s="54"/>
      <c r="G68" s="54"/>
      <c r="H68" s="54"/>
    </row>
    <row r="69" spans="1:9">
      <c r="A69" s="215" t="s">
        <v>578</v>
      </c>
      <c r="B69" s="215">
        <f>ROW()</f>
        <v>69</v>
      </c>
      <c r="C69" s="219" t="s">
        <v>584</v>
      </c>
      <c r="D69" s="219" t="s">
        <v>548</v>
      </c>
      <c r="E69" s="219"/>
      <c r="F69" s="47" t="str">
        <f>IF(F67,100*F68/F67,"Not defined")</f>
        <v>Not defined</v>
      </c>
      <c r="G69" s="47" t="str">
        <f>IF(G67,100*G68/G67,"Not defined")</f>
        <v>Not defined</v>
      </c>
      <c r="H69" s="47" t="str">
        <f>IF(H67,100*H68/H67,"Not defined")</f>
        <v>Not defined</v>
      </c>
    </row>
    <row r="70" spans="1:9">
      <c r="A70" s="215" t="s">
        <v>578</v>
      </c>
      <c r="B70" s="215">
        <f>ROW()</f>
        <v>70</v>
      </c>
      <c r="C70" s="220" t="s">
        <v>586</v>
      </c>
      <c r="D70" s="220" t="s">
        <v>587</v>
      </c>
      <c r="E70" s="220"/>
      <c r="F70" s="202"/>
      <c r="G70" s="202"/>
      <c r="H70" s="10"/>
    </row>
    <row r="71" spans="1:9">
      <c r="A71" s="215" t="s">
        <v>578</v>
      </c>
      <c r="B71" s="215">
        <f>ROW()</f>
        <v>71</v>
      </c>
      <c r="C71" s="220" t="s">
        <v>586</v>
      </c>
      <c r="D71" s="220" t="s">
        <v>546</v>
      </c>
      <c r="E71" s="220"/>
      <c r="F71" s="54"/>
      <c r="G71" s="202"/>
      <c r="H71" s="10"/>
    </row>
    <row r="72" spans="1:9">
      <c r="A72" s="215" t="s">
        <v>578</v>
      </c>
      <c r="B72" s="215">
        <f>ROW()</f>
        <v>72</v>
      </c>
      <c r="C72" s="220" t="s">
        <v>586</v>
      </c>
      <c r="D72" s="220" t="s">
        <v>588</v>
      </c>
      <c r="E72" s="220"/>
      <c r="F72" s="54"/>
      <c r="G72" s="54"/>
      <c r="H72" s="10"/>
    </row>
    <row r="73" spans="1:9">
      <c r="A73" s="215" t="s">
        <v>578</v>
      </c>
      <c r="B73" s="215">
        <f>ROW()</f>
        <v>73</v>
      </c>
      <c r="C73" s="220" t="s">
        <v>586</v>
      </c>
      <c r="D73" s="220" t="s">
        <v>589</v>
      </c>
      <c r="E73" s="220"/>
      <c r="F73" s="54"/>
      <c r="G73" s="54"/>
      <c r="H73" s="10"/>
      <c r="I73" s="51"/>
    </row>
    <row r="74" spans="1:9">
      <c r="A74" s="215" t="s">
        <v>578</v>
      </c>
      <c r="B74" s="215">
        <f>ROW()</f>
        <v>74</v>
      </c>
      <c r="C74" s="220" t="s">
        <v>586</v>
      </c>
      <c r="D74" s="220" t="s">
        <v>555</v>
      </c>
      <c r="E74" s="220"/>
      <c r="F74" s="54"/>
      <c r="G74" s="54"/>
      <c r="H74" s="10"/>
    </row>
    <row r="75" spans="1:9">
      <c r="A75" s="215" t="s">
        <v>578</v>
      </c>
      <c r="B75" s="215">
        <f>ROW()</f>
        <v>75</v>
      </c>
      <c r="C75" s="220" t="s">
        <v>586</v>
      </c>
      <c r="D75" s="220" t="s">
        <v>547</v>
      </c>
      <c r="E75" s="220"/>
      <c r="F75" s="54"/>
      <c r="G75" s="54"/>
      <c r="H75" s="10"/>
    </row>
    <row r="76" spans="1:9">
      <c r="A76" s="215" t="s">
        <v>578</v>
      </c>
      <c r="B76" s="215">
        <f>ROW()</f>
        <v>76</v>
      </c>
      <c r="C76" s="219" t="s">
        <v>586</v>
      </c>
      <c r="D76" s="219" t="s">
        <v>556</v>
      </c>
      <c r="E76" s="219"/>
      <c r="F76" s="62" t="str">
        <f>IF(F73,F74/F73,"Not defined")</f>
        <v>Not defined</v>
      </c>
      <c r="G76" s="62" t="str">
        <f>IF(G73,G74/G73,"Not defined")</f>
        <v>Not defined</v>
      </c>
      <c r="H76" s="10"/>
    </row>
    <row r="77" spans="1:9">
      <c r="A77" s="215" t="s">
        <v>578</v>
      </c>
      <c r="B77" s="215">
        <f>ROW()</f>
        <v>77</v>
      </c>
      <c r="C77" s="219" t="s">
        <v>586</v>
      </c>
      <c r="D77" s="219" t="s">
        <v>548</v>
      </c>
      <c r="E77" s="219"/>
      <c r="F77" s="47" t="str">
        <f>IF(F71,100*F75/F71,"Not defined")</f>
        <v>Not defined</v>
      </c>
      <c r="G77" s="47" t="str">
        <f>IF(G71,100*G75/G71,"Not defined")</f>
        <v>Not defined</v>
      </c>
      <c r="H77" s="10"/>
      <c r="I77" s="16" t="s">
        <v>557</v>
      </c>
    </row>
    <row r="78" spans="1:9" ht="29">
      <c r="A78" s="215" t="s">
        <v>578</v>
      </c>
      <c r="B78" s="215">
        <f>ROW()</f>
        <v>78</v>
      </c>
      <c r="C78" s="271" t="s">
        <v>590</v>
      </c>
      <c r="D78" s="271" t="s">
        <v>591</v>
      </c>
      <c r="E78" s="271"/>
      <c r="F78" s="272"/>
      <c r="G78" s="273"/>
      <c r="H78" s="273"/>
    </row>
    <row r="79" spans="1:9" ht="29">
      <c r="A79" s="215" t="s">
        <v>578</v>
      </c>
      <c r="B79" s="215">
        <f>ROW()</f>
        <v>79</v>
      </c>
      <c r="C79" s="271" t="s">
        <v>590</v>
      </c>
      <c r="D79" s="274" t="s">
        <v>546</v>
      </c>
      <c r="E79" s="274"/>
      <c r="F79" s="275"/>
      <c r="G79" s="273"/>
      <c r="H79" s="273"/>
    </row>
    <row r="80" spans="1:9" ht="29">
      <c r="A80" s="215" t="s">
        <v>578</v>
      </c>
      <c r="B80" s="215">
        <f>ROW()</f>
        <v>80</v>
      </c>
      <c r="C80" s="271" t="s">
        <v>590</v>
      </c>
      <c r="D80" s="274" t="s">
        <v>592</v>
      </c>
      <c r="E80" s="274"/>
      <c r="F80" s="275"/>
      <c r="G80" s="273"/>
      <c r="H80" s="273"/>
    </row>
    <row r="81" spans="1:9" ht="29">
      <c r="A81" s="215" t="s">
        <v>578</v>
      </c>
      <c r="B81" s="215">
        <f>ROW()</f>
        <v>81</v>
      </c>
      <c r="C81" s="271" t="s">
        <v>590</v>
      </c>
      <c r="D81" s="274" t="s">
        <v>547</v>
      </c>
      <c r="E81" s="274"/>
      <c r="F81" s="275"/>
      <c r="G81" s="273"/>
      <c r="H81" s="273"/>
    </row>
    <row r="82" spans="1:9" ht="29">
      <c r="A82" s="215" t="s">
        <v>578</v>
      </c>
      <c r="B82" s="215">
        <f>ROW()</f>
        <v>82</v>
      </c>
      <c r="C82" s="276" t="s">
        <v>590</v>
      </c>
      <c r="D82" s="277" t="s">
        <v>556</v>
      </c>
      <c r="E82" s="277"/>
      <c r="F82" s="278" t="str">
        <f>IF(F80,F81/F80,"Not defined")</f>
        <v>Not defined</v>
      </c>
      <c r="G82" s="273"/>
      <c r="H82" s="273"/>
    </row>
    <row r="83" spans="1:9" ht="29">
      <c r="A83" s="215" t="s">
        <v>578</v>
      </c>
      <c r="B83" s="215">
        <f>ROW()</f>
        <v>83</v>
      </c>
      <c r="C83" s="276" t="s">
        <v>590</v>
      </c>
      <c r="D83" s="277" t="s">
        <v>548</v>
      </c>
      <c r="E83" s="277"/>
      <c r="F83" s="279" t="str">
        <f>IF(F79,100*F81/F79,"Not defined")</f>
        <v>Not defined</v>
      </c>
      <c r="G83" s="273"/>
      <c r="H83" s="273"/>
      <c r="I83" s="16" t="s">
        <v>562</v>
      </c>
    </row>
    <row r="84" spans="1:9">
      <c r="A84" s="215" t="s">
        <v>578</v>
      </c>
      <c r="B84" s="215">
        <f>ROW()</f>
        <v>84</v>
      </c>
      <c r="C84" s="271" t="s">
        <v>593</v>
      </c>
      <c r="D84" s="274" t="s">
        <v>594</v>
      </c>
      <c r="E84" s="274"/>
      <c r="F84" s="272"/>
      <c r="G84" s="280"/>
      <c r="H84" s="280"/>
    </row>
    <row r="85" spans="1:9">
      <c r="A85" s="215" t="s">
        <v>578</v>
      </c>
      <c r="B85" s="215">
        <f>ROW()</f>
        <v>85</v>
      </c>
      <c r="C85" s="271" t="s">
        <v>593</v>
      </c>
      <c r="D85" s="274" t="s">
        <v>546</v>
      </c>
      <c r="E85" s="274"/>
      <c r="F85" s="280"/>
      <c r="G85" s="280"/>
      <c r="H85" s="280"/>
    </row>
    <row r="86" spans="1:9">
      <c r="A86" s="215" t="s">
        <v>578</v>
      </c>
      <c r="B86" s="215">
        <f>ROW()</f>
        <v>86</v>
      </c>
      <c r="C86" s="271" t="s">
        <v>593</v>
      </c>
      <c r="D86" s="274" t="s">
        <v>547</v>
      </c>
      <c r="E86" s="274"/>
      <c r="F86" s="280"/>
      <c r="G86" s="280"/>
      <c r="H86" s="280"/>
    </row>
    <row r="87" spans="1:9">
      <c r="A87" s="215" t="s">
        <v>578</v>
      </c>
      <c r="B87" s="215">
        <f>ROW()</f>
        <v>87</v>
      </c>
      <c r="C87" s="276" t="s">
        <v>593</v>
      </c>
      <c r="D87" s="277" t="s">
        <v>548</v>
      </c>
      <c r="E87" s="277"/>
      <c r="F87" s="279" t="str">
        <f>IF(F85,100*F86/F85,"Not defined")</f>
        <v>Not defined</v>
      </c>
      <c r="G87" s="279" t="str">
        <f>IF(G85,100*G86/G85,"Not defined")</f>
        <v>Not defined</v>
      </c>
      <c r="H87" s="279" t="str">
        <f>IF(H85,100*H86/H85,"Not defined")</f>
        <v>Not defined</v>
      </c>
    </row>
    <row r="88" spans="1:9" ht="29">
      <c r="A88" s="215" t="s">
        <v>578</v>
      </c>
      <c r="B88" s="215">
        <f>ROW()</f>
        <v>88</v>
      </c>
      <c r="C88" s="271" t="s">
        <v>595</v>
      </c>
      <c r="D88" s="274" t="s">
        <v>546</v>
      </c>
      <c r="E88" s="274"/>
      <c r="F88" s="280"/>
      <c r="G88" s="280"/>
      <c r="H88" s="280"/>
    </row>
    <row r="89" spans="1:9" ht="29">
      <c r="A89" s="215" t="s">
        <v>578</v>
      </c>
      <c r="B89" s="215">
        <f>ROW()</f>
        <v>89</v>
      </c>
      <c r="C89" s="271" t="s">
        <v>595</v>
      </c>
      <c r="D89" s="274" t="s">
        <v>596</v>
      </c>
      <c r="E89" s="274"/>
      <c r="F89" s="280"/>
      <c r="G89" s="280"/>
      <c r="H89" s="280"/>
    </row>
    <row r="90" spans="1:9">
      <c r="A90" s="269"/>
      <c r="B90" s="269" t="s">
        <v>576</v>
      </c>
      <c r="C90" s="220"/>
      <c r="D90" s="220"/>
      <c r="E90" s="220"/>
      <c r="F90" s="255"/>
      <c r="G90" s="255"/>
      <c r="H90" s="38"/>
    </row>
    <row r="91" spans="1:9">
      <c r="A91" s="254"/>
      <c r="B91" s="254" t="s">
        <v>754</v>
      </c>
      <c r="C91" s="220"/>
      <c r="D91" s="220"/>
      <c r="E91" s="220"/>
      <c r="F91" s="255"/>
      <c r="G91" s="255"/>
      <c r="H91" s="38"/>
    </row>
  </sheetData>
  <phoneticPr fontId="12" type="noConversion"/>
  <pageMargins left="0.25" right="0.25" top="0.75" bottom="0.75" header="0.3" footer="0.3"/>
  <pageSetup paperSize="9" scale="43" fitToHeight="0" orientation="portrait" r:id="rId1"/>
  <colBreaks count="1" manualBreakCount="1">
    <brk id="9" max="1048575" man="1"/>
  </colBreaks>
  <tableParts count="2">
    <tablePart r:id="rId2"/>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810ED-8A77-46D7-8C7E-8E5ACCB80B21}">
  <sheetPr>
    <pageSetUpPr fitToPage="1"/>
  </sheetPr>
  <dimension ref="A1:I44"/>
  <sheetViews>
    <sheetView showGridLines="0" view="pageBreakPreview" topLeftCell="B1" zoomScaleNormal="100" zoomScaleSheetLayoutView="100" workbookViewId="0">
      <selection activeCell="B19" sqref="B19"/>
    </sheetView>
  </sheetViews>
  <sheetFormatPr defaultColWidth="8.7265625" defaultRowHeight="14.5"/>
  <cols>
    <col min="1" max="1" width="25.7265625" style="56" hidden="1" customWidth="1"/>
    <col min="2" max="2" width="9.1796875" style="56" customWidth="1"/>
    <col min="3" max="3" width="21.7265625" style="56" customWidth="1"/>
    <col min="4" max="4" width="60.453125" style="56" customWidth="1"/>
    <col min="5" max="5" width="20.26953125" style="56" customWidth="1"/>
    <col min="6" max="7" width="18.7265625" style="56" customWidth="1"/>
    <col min="8" max="8" width="18.453125" style="56" customWidth="1"/>
    <col min="9" max="11" width="20.7265625" style="56" customWidth="1"/>
    <col min="12" max="16384" width="8.7265625" style="56"/>
  </cols>
  <sheetData>
    <row r="1" spans="1:9" ht="23.5">
      <c r="B1" s="1" t="str">
        <f>_company_name&amp;"    |     Pricing period starting year - "&amp;TEXT(_pp_starting_year,"dd mmmm yyyy")&amp;"    |     Disclosure year - "&amp;TEXT(_dy_year_ended,"yyyy")</f>
        <v>[select name of the airport]    |     Pricing period starting year - 30 June 2023    |     Disclosure year - 2026</v>
      </c>
    </row>
    <row r="3" spans="1:9" ht="23.5">
      <c r="B3" s="1" t="s">
        <v>597</v>
      </c>
    </row>
    <row r="4" spans="1:9" ht="21">
      <c r="B4" s="61" t="s">
        <v>598</v>
      </c>
    </row>
    <row r="5" spans="1:9">
      <c r="A5" s="221" t="s">
        <v>80</v>
      </c>
      <c r="B5" s="222" t="s">
        <v>81</v>
      </c>
      <c r="C5" s="5" t="s">
        <v>83</v>
      </c>
      <c r="D5" s="5" t="s">
        <v>151</v>
      </c>
      <c r="E5" s="5" t="s">
        <v>599</v>
      </c>
    </row>
    <row r="6" spans="1:9">
      <c r="A6" s="215" t="s">
        <v>600</v>
      </c>
      <c r="B6" s="215">
        <f>ROW()</f>
        <v>6</v>
      </c>
      <c r="C6" s="220" t="s">
        <v>601</v>
      </c>
      <c r="D6" s="220" t="s">
        <v>602</v>
      </c>
      <c r="E6" s="209" t="s">
        <v>409</v>
      </c>
    </row>
    <row r="7" spans="1:9">
      <c r="A7" s="215" t="s">
        <v>600</v>
      </c>
      <c r="B7" s="215">
        <f>ROW()</f>
        <v>7</v>
      </c>
      <c r="C7" s="220" t="s">
        <v>601</v>
      </c>
      <c r="D7" s="220" t="s">
        <v>603</v>
      </c>
      <c r="E7" s="86"/>
    </row>
    <row r="10" spans="1:9" ht="21">
      <c r="B10" s="61" t="s">
        <v>598</v>
      </c>
    </row>
    <row r="11" spans="1:9" ht="72.5">
      <c r="A11" s="221" t="s">
        <v>80</v>
      </c>
      <c r="B11" s="222" t="s">
        <v>81</v>
      </c>
      <c r="C11" s="5" t="s">
        <v>604</v>
      </c>
      <c r="D11" s="5" t="s">
        <v>151</v>
      </c>
      <c r="E11" s="5" t="s">
        <v>605</v>
      </c>
      <c r="F11" s="5" t="s">
        <v>606</v>
      </c>
      <c r="G11" s="5" t="s">
        <v>607</v>
      </c>
      <c r="H11" s="5" t="s">
        <v>608</v>
      </c>
      <c r="I11" s="8" t="s">
        <v>609</v>
      </c>
    </row>
    <row r="12" spans="1:9">
      <c r="A12" s="215" t="s">
        <v>600</v>
      </c>
      <c r="B12" s="215">
        <f>ROW()</f>
        <v>12</v>
      </c>
      <c r="C12" s="220" t="s">
        <v>610</v>
      </c>
      <c r="D12" s="220" t="s">
        <v>611</v>
      </c>
      <c r="E12" s="205"/>
      <c r="F12" s="205"/>
      <c r="G12" s="205"/>
      <c r="H12" s="205"/>
      <c r="I12" s="64">
        <f>IF(SUM(E12,F12,G12,H12),AVERAGE(E12,F12,G12,H12),0)</f>
        <v>0</v>
      </c>
    </row>
    <row r="13" spans="1:9">
      <c r="A13" s="215" t="s">
        <v>600</v>
      </c>
      <c r="B13" s="215">
        <f>ROW()</f>
        <v>13</v>
      </c>
      <c r="C13" s="220" t="s">
        <v>610</v>
      </c>
      <c r="D13" s="220" t="s">
        <v>612</v>
      </c>
      <c r="E13" s="205"/>
      <c r="F13" s="205"/>
      <c r="G13" s="205"/>
      <c r="H13" s="205"/>
      <c r="I13" s="64">
        <f t="shared" ref="I13:I41" si="0">IF(SUM(E13,F13,G13,H13),AVERAGE(E13,F13,G13,H13),0)</f>
        <v>0</v>
      </c>
    </row>
    <row r="14" spans="1:9">
      <c r="A14" s="215" t="s">
        <v>600</v>
      </c>
      <c r="B14" s="215">
        <f>ROW()</f>
        <v>14</v>
      </c>
      <c r="C14" s="220" t="s">
        <v>610</v>
      </c>
      <c r="D14" s="220" t="s">
        <v>613</v>
      </c>
      <c r="E14" s="205"/>
      <c r="F14" s="205"/>
      <c r="G14" s="205"/>
      <c r="H14" s="205"/>
      <c r="I14" s="64">
        <f t="shared" si="0"/>
        <v>0</v>
      </c>
    </row>
    <row r="15" spans="1:9">
      <c r="A15" s="215" t="s">
        <v>600</v>
      </c>
      <c r="B15" s="215">
        <f>ROW()</f>
        <v>15</v>
      </c>
      <c r="C15" s="220" t="s">
        <v>610</v>
      </c>
      <c r="D15" s="220" t="s">
        <v>614</v>
      </c>
      <c r="E15" s="205"/>
      <c r="F15" s="205"/>
      <c r="G15" s="205"/>
      <c r="H15" s="205"/>
      <c r="I15" s="64">
        <f t="shared" si="0"/>
        <v>0</v>
      </c>
    </row>
    <row r="16" spans="1:9">
      <c r="A16" s="215" t="s">
        <v>600</v>
      </c>
      <c r="B16" s="215">
        <f>ROW()</f>
        <v>16</v>
      </c>
      <c r="C16" s="220" t="s">
        <v>610</v>
      </c>
      <c r="D16" s="220" t="s">
        <v>615</v>
      </c>
      <c r="E16" s="205"/>
      <c r="F16" s="205"/>
      <c r="G16" s="205"/>
      <c r="H16" s="205"/>
      <c r="I16" s="64">
        <f>IF(SUM(E16,F16,G16,H16),AVERAGE(E16,F16,G16,H16),0)</f>
        <v>0</v>
      </c>
    </row>
    <row r="17" spans="1:9">
      <c r="A17" s="215" t="s">
        <v>600</v>
      </c>
      <c r="B17" s="215">
        <f>ROW()</f>
        <v>17</v>
      </c>
      <c r="C17" s="220" t="s">
        <v>610</v>
      </c>
      <c r="D17" s="220" t="s">
        <v>616</v>
      </c>
      <c r="E17" s="205"/>
      <c r="F17" s="205"/>
      <c r="G17" s="205"/>
      <c r="H17" s="205"/>
      <c r="I17" s="64">
        <f t="shared" si="0"/>
        <v>0</v>
      </c>
    </row>
    <row r="18" spans="1:9">
      <c r="A18" s="215" t="s">
        <v>600</v>
      </c>
      <c r="B18" s="215">
        <f>ROW()</f>
        <v>18</v>
      </c>
      <c r="C18" s="220" t="s">
        <v>610</v>
      </c>
      <c r="D18" s="220" t="s">
        <v>617</v>
      </c>
      <c r="E18" s="205"/>
      <c r="F18" s="205"/>
      <c r="G18" s="205"/>
      <c r="H18" s="205"/>
      <c r="I18" s="64">
        <f t="shared" si="0"/>
        <v>0</v>
      </c>
    </row>
    <row r="19" spans="1:9">
      <c r="A19" s="215" t="s">
        <v>600</v>
      </c>
      <c r="B19" s="215">
        <f>ROW()</f>
        <v>19</v>
      </c>
      <c r="C19" s="220" t="s">
        <v>610</v>
      </c>
      <c r="D19" s="220" t="s">
        <v>618</v>
      </c>
      <c r="E19" s="205"/>
      <c r="F19" s="205"/>
      <c r="G19" s="205"/>
      <c r="H19" s="205"/>
      <c r="I19" s="64">
        <f t="shared" si="0"/>
        <v>0</v>
      </c>
    </row>
    <row r="20" spans="1:9">
      <c r="A20" s="215" t="s">
        <v>600</v>
      </c>
      <c r="B20" s="215">
        <f>ROW()</f>
        <v>20</v>
      </c>
      <c r="C20" s="220" t="s">
        <v>610</v>
      </c>
      <c r="D20" s="220" t="s">
        <v>619</v>
      </c>
      <c r="E20" s="205"/>
      <c r="F20" s="205"/>
      <c r="G20" s="205"/>
      <c r="H20" s="205"/>
      <c r="I20" s="64">
        <f t="shared" si="0"/>
        <v>0</v>
      </c>
    </row>
    <row r="21" spans="1:9">
      <c r="A21" s="215" t="s">
        <v>600</v>
      </c>
      <c r="B21" s="215">
        <f>ROW()</f>
        <v>21</v>
      </c>
      <c r="C21" s="220" t="s">
        <v>610</v>
      </c>
      <c r="D21" s="220" t="s">
        <v>620</v>
      </c>
      <c r="E21" s="205"/>
      <c r="F21" s="205"/>
      <c r="G21" s="205"/>
      <c r="H21" s="205"/>
      <c r="I21" s="64">
        <f t="shared" si="0"/>
        <v>0</v>
      </c>
    </row>
    <row r="22" spans="1:9">
      <c r="A22" s="215" t="s">
        <v>600</v>
      </c>
      <c r="B22" s="215">
        <f>ROW()</f>
        <v>22</v>
      </c>
      <c r="C22" s="220" t="s">
        <v>610</v>
      </c>
      <c r="D22" s="220" t="s">
        <v>621</v>
      </c>
      <c r="E22" s="205"/>
      <c r="F22" s="205"/>
      <c r="G22" s="205"/>
      <c r="H22" s="205"/>
      <c r="I22" s="64">
        <f t="shared" si="0"/>
        <v>0</v>
      </c>
    </row>
    <row r="23" spans="1:9">
      <c r="A23" s="215" t="s">
        <v>600</v>
      </c>
      <c r="B23" s="215">
        <f>ROW()</f>
        <v>23</v>
      </c>
      <c r="C23" s="220" t="s">
        <v>610</v>
      </c>
      <c r="D23" s="220" t="s">
        <v>622</v>
      </c>
      <c r="E23" s="205"/>
      <c r="F23" s="205"/>
      <c r="G23" s="205"/>
      <c r="H23" s="205"/>
      <c r="I23" s="64">
        <f t="shared" si="0"/>
        <v>0</v>
      </c>
    </row>
    <row r="24" spans="1:9">
      <c r="A24" s="215" t="s">
        <v>600</v>
      </c>
      <c r="B24" s="215">
        <f>ROW()</f>
        <v>24</v>
      </c>
      <c r="C24" s="220" t="s">
        <v>610</v>
      </c>
      <c r="D24" s="220" t="s">
        <v>623</v>
      </c>
      <c r="E24" s="205"/>
      <c r="F24" s="205"/>
      <c r="G24" s="205"/>
      <c r="H24" s="205"/>
      <c r="I24" s="64">
        <f t="shared" si="0"/>
        <v>0</v>
      </c>
    </row>
    <row r="25" spans="1:9" ht="15" thickBot="1">
      <c r="A25" s="215" t="s">
        <v>600</v>
      </c>
      <c r="B25" s="215">
        <f>ROW()</f>
        <v>25</v>
      </c>
      <c r="C25" s="220" t="s">
        <v>610</v>
      </c>
      <c r="D25" s="220" t="s">
        <v>624</v>
      </c>
      <c r="E25" s="205"/>
      <c r="F25" s="205"/>
      <c r="G25" s="205"/>
      <c r="H25" s="205"/>
      <c r="I25" s="64">
        <f t="shared" si="0"/>
        <v>0</v>
      </c>
    </row>
    <row r="26" spans="1:9" ht="15" thickBot="1">
      <c r="A26" s="215" t="s">
        <v>600</v>
      </c>
      <c r="B26" s="215">
        <f>ROW()</f>
        <v>26</v>
      </c>
      <c r="C26" s="219" t="s">
        <v>610</v>
      </c>
      <c r="D26" s="219" t="s">
        <v>625</v>
      </c>
      <c r="E26" s="195">
        <f>IF(SUM(E12:E25),AVERAGE(E12:E25),0)</f>
        <v>0</v>
      </c>
      <c r="F26" s="196">
        <f t="shared" ref="F26:H26" si="1">IF(SUM(F12:F25),AVERAGE(F12:F25),0)</f>
        <v>0</v>
      </c>
      <c r="G26" s="196">
        <f t="shared" si="1"/>
        <v>0</v>
      </c>
      <c r="H26" s="196">
        <f t="shared" si="1"/>
        <v>0</v>
      </c>
      <c r="I26" s="196">
        <f>IF(SUM(I12:I25),AVERAGE(I12:I25),0)</f>
        <v>0</v>
      </c>
    </row>
    <row r="27" spans="1:9">
      <c r="A27" s="215" t="s">
        <v>600</v>
      </c>
      <c r="B27" s="215">
        <f>ROW()</f>
        <v>27</v>
      </c>
      <c r="C27" s="220" t="s">
        <v>626</v>
      </c>
      <c r="D27" s="220" t="s">
        <v>611</v>
      </c>
      <c r="E27" s="205"/>
      <c r="F27" s="205"/>
      <c r="G27" s="205"/>
      <c r="H27" s="205"/>
      <c r="I27" s="64">
        <f>IF(SUM(E27,F27,G27,H27),AVERAGE(E27,F27,G27,H27),0)</f>
        <v>0</v>
      </c>
    </row>
    <row r="28" spans="1:9">
      <c r="A28" s="215" t="s">
        <v>600</v>
      </c>
      <c r="B28" s="215">
        <f>ROW()</f>
        <v>28</v>
      </c>
      <c r="C28" s="220" t="s">
        <v>626</v>
      </c>
      <c r="D28" s="220" t="s">
        <v>612</v>
      </c>
      <c r="E28" s="205"/>
      <c r="F28" s="205"/>
      <c r="G28" s="205"/>
      <c r="H28" s="205"/>
      <c r="I28" s="64">
        <f t="shared" si="0"/>
        <v>0</v>
      </c>
    </row>
    <row r="29" spans="1:9">
      <c r="A29" s="215" t="s">
        <v>600</v>
      </c>
      <c r="B29" s="215">
        <f>ROW()</f>
        <v>29</v>
      </c>
      <c r="C29" s="220" t="s">
        <v>626</v>
      </c>
      <c r="D29" s="220" t="s">
        <v>613</v>
      </c>
      <c r="E29" s="205"/>
      <c r="F29" s="205"/>
      <c r="G29" s="205"/>
      <c r="H29" s="205"/>
      <c r="I29" s="64">
        <f t="shared" si="0"/>
        <v>0</v>
      </c>
    </row>
    <row r="30" spans="1:9">
      <c r="A30" s="215" t="s">
        <v>600</v>
      </c>
      <c r="B30" s="215">
        <f>ROW()</f>
        <v>30</v>
      </c>
      <c r="C30" s="220" t="s">
        <v>626</v>
      </c>
      <c r="D30" s="220" t="s">
        <v>614</v>
      </c>
      <c r="E30" s="205"/>
      <c r="F30" s="205"/>
      <c r="G30" s="205"/>
      <c r="H30" s="205"/>
      <c r="I30" s="64">
        <f t="shared" si="0"/>
        <v>0</v>
      </c>
    </row>
    <row r="31" spans="1:9">
      <c r="A31" s="215" t="s">
        <v>600</v>
      </c>
      <c r="B31" s="215">
        <f>ROW()</f>
        <v>31</v>
      </c>
      <c r="C31" s="220" t="s">
        <v>626</v>
      </c>
      <c r="D31" s="220" t="s">
        <v>615</v>
      </c>
      <c r="E31" s="205"/>
      <c r="F31" s="205"/>
      <c r="G31" s="205"/>
      <c r="H31" s="205"/>
      <c r="I31" s="64">
        <f t="shared" si="0"/>
        <v>0</v>
      </c>
    </row>
    <row r="32" spans="1:9">
      <c r="A32" s="215" t="s">
        <v>600</v>
      </c>
      <c r="B32" s="215">
        <f>ROW()</f>
        <v>32</v>
      </c>
      <c r="C32" s="220" t="s">
        <v>626</v>
      </c>
      <c r="D32" s="220" t="s">
        <v>616</v>
      </c>
      <c r="E32" s="205"/>
      <c r="F32" s="205"/>
      <c r="G32" s="205"/>
      <c r="H32" s="205"/>
      <c r="I32" s="64">
        <f t="shared" si="0"/>
        <v>0</v>
      </c>
    </row>
    <row r="33" spans="1:9">
      <c r="A33" s="215" t="s">
        <v>600</v>
      </c>
      <c r="B33" s="215">
        <f>ROW()</f>
        <v>33</v>
      </c>
      <c r="C33" s="220" t="s">
        <v>626</v>
      </c>
      <c r="D33" s="220" t="s">
        <v>617</v>
      </c>
      <c r="E33" s="205"/>
      <c r="F33" s="205"/>
      <c r="G33" s="205"/>
      <c r="H33" s="205"/>
      <c r="I33" s="64">
        <f t="shared" si="0"/>
        <v>0</v>
      </c>
    </row>
    <row r="34" spans="1:9">
      <c r="A34" s="215" t="s">
        <v>600</v>
      </c>
      <c r="B34" s="215">
        <f>ROW()</f>
        <v>34</v>
      </c>
      <c r="C34" s="220" t="s">
        <v>626</v>
      </c>
      <c r="D34" s="220" t="s">
        <v>618</v>
      </c>
      <c r="E34" s="205"/>
      <c r="F34" s="205"/>
      <c r="G34" s="205"/>
      <c r="H34" s="205"/>
      <c r="I34" s="64">
        <f t="shared" si="0"/>
        <v>0</v>
      </c>
    </row>
    <row r="35" spans="1:9">
      <c r="A35" s="215" t="s">
        <v>600</v>
      </c>
      <c r="B35" s="215">
        <f>ROW()</f>
        <v>35</v>
      </c>
      <c r="C35" s="220" t="s">
        <v>626</v>
      </c>
      <c r="D35" s="220" t="s">
        <v>619</v>
      </c>
      <c r="E35" s="205"/>
      <c r="F35" s="205"/>
      <c r="G35" s="205"/>
      <c r="H35" s="205"/>
      <c r="I35" s="64">
        <f t="shared" si="0"/>
        <v>0</v>
      </c>
    </row>
    <row r="36" spans="1:9">
      <c r="A36" s="215" t="s">
        <v>600</v>
      </c>
      <c r="B36" s="215">
        <f>ROW()</f>
        <v>36</v>
      </c>
      <c r="C36" s="220" t="s">
        <v>626</v>
      </c>
      <c r="D36" s="220" t="s">
        <v>620</v>
      </c>
      <c r="E36" s="205"/>
      <c r="F36" s="205"/>
      <c r="G36" s="205"/>
      <c r="H36" s="205"/>
      <c r="I36" s="64">
        <f>IF(SUM(E36,F36,G36,H36),AVERAGE(E36,F36,G36,H36),0)</f>
        <v>0</v>
      </c>
    </row>
    <row r="37" spans="1:9">
      <c r="A37" s="215" t="s">
        <v>600</v>
      </c>
      <c r="B37" s="215">
        <f>ROW()</f>
        <v>37</v>
      </c>
      <c r="C37" s="220" t="s">
        <v>626</v>
      </c>
      <c r="D37" s="220" t="s">
        <v>621</v>
      </c>
      <c r="E37" s="205"/>
      <c r="F37" s="205"/>
      <c r="G37" s="205"/>
      <c r="H37" s="205"/>
      <c r="I37" s="64">
        <f t="shared" si="0"/>
        <v>0</v>
      </c>
    </row>
    <row r="38" spans="1:9">
      <c r="A38" s="215" t="s">
        <v>600</v>
      </c>
      <c r="B38" s="215">
        <f>ROW()</f>
        <v>38</v>
      </c>
      <c r="C38" s="220" t="s">
        <v>626</v>
      </c>
      <c r="D38" s="220" t="s">
        <v>627</v>
      </c>
      <c r="E38" s="205"/>
      <c r="F38" s="205"/>
      <c r="G38" s="205"/>
      <c r="H38" s="205"/>
      <c r="I38" s="64">
        <f t="shared" si="0"/>
        <v>0</v>
      </c>
    </row>
    <row r="39" spans="1:9">
      <c r="A39" s="215" t="s">
        <v>600</v>
      </c>
      <c r="B39" s="215">
        <f>ROW()</f>
        <v>39</v>
      </c>
      <c r="C39" s="220" t="s">
        <v>626</v>
      </c>
      <c r="D39" s="220" t="s">
        <v>622</v>
      </c>
      <c r="E39" s="205"/>
      <c r="F39" s="205"/>
      <c r="G39" s="205"/>
      <c r="H39" s="205"/>
      <c r="I39" s="64">
        <f t="shared" si="0"/>
        <v>0</v>
      </c>
    </row>
    <row r="40" spans="1:9">
      <c r="A40" s="215" t="s">
        <v>600</v>
      </c>
      <c r="B40" s="215">
        <f>ROW()</f>
        <v>40</v>
      </c>
      <c r="C40" s="220" t="s">
        <v>626</v>
      </c>
      <c r="D40" s="220" t="s">
        <v>623</v>
      </c>
      <c r="E40" s="205"/>
      <c r="F40" s="205"/>
      <c r="G40" s="205"/>
      <c r="H40" s="205"/>
      <c r="I40" s="64">
        <f t="shared" si="0"/>
        <v>0</v>
      </c>
    </row>
    <row r="41" spans="1:9" ht="15" thickBot="1">
      <c r="A41" s="215" t="s">
        <v>600</v>
      </c>
      <c r="B41" s="215">
        <f>ROW()</f>
        <v>41</v>
      </c>
      <c r="C41" s="220" t="s">
        <v>626</v>
      </c>
      <c r="D41" s="220" t="s">
        <v>624</v>
      </c>
      <c r="E41" s="205"/>
      <c r="F41" s="205"/>
      <c r="G41" s="205"/>
      <c r="H41" s="205"/>
      <c r="I41" s="64">
        <f t="shared" si="0"/>
        <v>0</v>
      </c>
    </row>
    <row r="42" spans="1:9" ht="14.65" customHeight="1" thickBot="1">
      <c r="A42" s="215" t="s">
        <v>600</v>
      </c>
      <c r="B42" s="215">
        <f>ROW()</f>
        <v>42</v>
      </c>
      <c r="C42" s="219" t="s">
        <v>626</v>
      </c>
      <c r="D42" s="219" t="s">
        <v>625</v>
      </c>
      <c r="E42" s="195">
        <f>IF(SUM(E27:E41),AVERAGE(E27:E41),0)</f>
        <v>0</v>
      </c>
      <c r="F42" s="196">
        <f t="shared" ref="F42:G42" si="2">IF(SUM(F27:F41),AVERAGE(F27:F41),0)</f>
        <v>0</v>
      </c>
      <c r="G42" s="196">
        <f t="shared" si="2"/>
        <v>0</v>
      </c>
      <c r="H42" s="196">
        <f>IF(SUM(H27:H41),AVERAGE(H27:H41),0)</f>
        <v>0</v>
      </c>
      <c r="I42" s="196">
        <f>IF(SUM(I27:I41),AVERAGE(I27:I41),0)</f>
        <v>0</v>
      </c>
    </row>
    <row r="43" spans="1:9">
      <c r="A43"/>
      <c r="B43" s="45" t="s">
        <v>628</v>
      </c>
      <c r="C43" s="51"/>
      <c r="D43" s="51"/>
      <c r="E43" s="250"/>
      <c r="F43" s="250"/>
      <c r="G43" s="250"/>
      <c r="H43" s="250"/>
      <c r="I43" s="251"/>
    </row>
    <row r="44" spans="1:9">
      <c r="A44"/>
      <c r="B44" s="45" t="s">
        <v>629</v>
      </c>
      <c r="C44"/>
      <c r="D44"/>
      <c r="E44" s="38"/>
      <c r="F44" s="38"/>
      <c r="G44" s="38"/>
      <c r="H44" s="38"/>
      <c r="I44" s="252"/>
    </row>
  </sheetData>
  <dataValidations count="1">
    <dataValidation type="list" allowBlank="1" showInputMessage="1" showErrorMessage="1" sqref="E6" xr:uid="{A1615F57-327F-4EC5-9BED-0615D9FEF6BB}">
      <formula1>"[Select one],ACI,Other"</formula1>
    </dataValidation>
  </dataValidations>
  <pageMargins left="0.25" right="0.25" top="0.75" bottom="0.75" header="0.3" footer="0.3"/>
  <pageSetup paperSize="9" scale="52" fitToHeight="0" orientation="portrait" r:id="rId1"/>
  <tableParts count="2">
    <tablePart r:id="rId2"/>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22594-4CCB-46F5-B648-000E319A11AC}">
  <sheetPr>
    <pageSetUpPr fitToPage="1"/>
  </sheetPr>
  <dimension ref="A1:A4"/>
  <sheetViews>
    <sheetView showGridLines="0" view="pageBreakPreview" zoomScaleNormal="100" zoomScaleSheetLayoutView="100" workbookViewId="0">
      <selection activeCell="B19" sqref="B19"/>
    </sheetView>
  </sheetViews>
  <sheetFormatPr defaultColWidth="8.7265625" defaultRowHeight="14.5"/>
  <cols>
    <col min="1" max="15" width="8.7265625" style="56"/>
    <col min="16" max="16" width="14.54296875" style="56" customWidth="1"/>
    <col min="17" max="16384" width="8.7265625" style="56"/>
  </cols>
  <sheetData>
    <row r="1" spans="1:1" ht="22">
      <c r="A1" s="294" t="str">
        <f>_company_name&amp;"    |     Pricing period starting year - "&amp;TEXT(_pp_starting_year,"dd mmmm yyyy")&amp;"    |     Disclosure year - "&amp;TEXT(_dy_year_ended,"yyyy")</f>
        <v>[select name of the airport]    |     Pricing period starting year - 30 June 2023    |     Disclosure year - 2026</v>
      </c>
    </row>
    <row r="3" spans="1:1" ht="23.5">
      <c r="A3" s="1" t="s">
        <v>630</v>
      </c>
    </row>
    <row r="4" spans="1:1">
      <c r="A4" s="45" t="s">
        <v>631</v>
      </c>
    </row>
  </sheetData>
  <pageMargins left="0.25" right="0.25" top="0.75" bottom="0.75" header="0.3" footer="0.3"/>
  <pageSetup paperSize="9" scale="75"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5E075-6F1C-4171-8C8C-902BA6C12F17}">
  <sheetPr>
    <pageSetUpPr fitToPage="1"/>
  </sheetPr>
  <dimension ref="A1:H152"/>
  <sheetViews>
    <sheetView showGridLines="0" view="pageBreakPreview" topLeftCell="B1" zoomScale="85" zoomScaleNormal="100" zoomScaleSheetLayoutView="85" workbookViewId="0">
      <selection activeCell="B2" sqref="B2"/>
    </sheetView>
  </sheetViews>
  <sheetFormatPr defaultColWidth="8.7265625" defaultRowHeight="14.5"/>
  <cols>
    <col min="1" max="1" width="28.453125" style="56" hidden="1" customWidth="1"/>
    <col min="2" max="2" width="9" style="56" bestFit="1" customWidth="1"/>
    <col min="3" max="3" width="97.453125" style="56" customWidth="1"/>
    <col min="4" max="4" width="60.54296875" style="56" customWidth="1"/>
    <col min="5" max="5" width="28.7265625" style="56" customWidth="1"/>
    <col min="6" max="6" width="30.26953125" style="56" customWidth="1"/>
    <col min="7" max="7" width="31.7265625" style="56" customWidth="1"/>
    <col min="8" max="8" width="32.26953125" style="56" customWidth="1"/>
    <col min="9" max="9" width="16.453125" style="56" customWidth="1"/>
    <col min="10" max="16384" width="8.7265625" style="56"/>
  </cols>
  <sheetData>
    <row r="1" spans="1:7" ht="23.5">
      <c r="B1" s="1" t="str">
        <f>_company_name&amp;"    |     Pricing period starting year - "&amp;TEXT(_pp_starting_year,"dd mmmm yyyy")&amp;"    |     Disclosure year - "&amp;TEXT(_dy_year_ended,"yyyy")</f>
        <v>[select name of the airport]    |     Pricing period starting year - 30 June 2023    |     Disclosure year - 2026</v>
      </c>
    </row>
    <row r="3" spans="1:7" ht="23.5">
      <c r="B3" s="1" t="s">
        <v>752</v>
      </c>
    </row>
    <row r="4" spans="1:7" ht="21">
      <c r="B4" s="61" t="s">
        <v>632</v>
      </c>
    </row>
    <row r="5" spans="1:7" ht="29">
      <c r="A5" s="221" t="s">
        <v>80</v>
      </c>
      <c r="B5" s="222" t="s">
        <v>81</v>
      </c>
      <c r="C5" s="5" t="s">
        <v>83</v>
      </c>
      <c r="D5" s="5" t="s">
        <v>633</v>
      </c>
      <c r="E5" s="5" t="s">
        <v>634</v>
      </c>
      <c r="F5" s="8" t="s">
        <v>635</v>
      </c>
      <c r="G5" s="8"/>
    </row>
    <row r="6" spans="1:7">
      <c r="A6" s="215" t="s">
        <v>632</v>
      </c>
      <c r="B6" s="215">
        <f>ROW()</f>
        <v>6</v>
      </c>
      <c r="C6" s="256" t="s">
        <v>636</v>
      </c>
      <c r="D6" s="86"/>
      <c r="E6" s="54"/>
      <c r="F6" s="54"/>
      <c r="G6" s="16" t="s">
        <v>637</v>
      </c>
    </row>
    <row r="7" spans="1:7">
      <c r="A7" s="215" t="s">
        <v>632</v>
      </c>
      <c r="B7" s="215">
        <f>ROW()</f>
        <v>7</v>
      </c>
      <c r="C7" s="256" t="s">
        <v>636</v>
      </c>
      <c r="D7" s="86"/>
      <c r="E7" s="54"/>
      <c r="F7" s="54"/>
      <c r="G7" s="16" t="s">
        <v>637</v>
      </c>
    </row>
    <row r="8" spans="1:7">
      <c r="A8" s="215" t="s">
        <v>632</v>
      </c>
      <c r="B8" s="215">
        <f>ROW()</f>
        <v>8</v>
      </c>
      <c r="C8" s="256" t="s">
        <v>636</v>
      </c>
      <c r="D8" s="86"/>
      <c r="E8" s="54"/>
      <c r="F8" s="54"/>
      <c r="G8" s="16" t="s">
        <v>637</v>
      </c>
    </row>
    <row r="9" spans="1:7" ht="15" customHeight="1">
      <c r="A9" s="215" t="s">
        <v>632</v>
      </c>
      <c r="B9" s="215">
        <f>ROW()</f>
        <v>9</v>
      </c>
      <c r="C9" s="256" t="s">
        <v>636</v>
      </c>
      <c r="D9" s="86"/>
      <c r="E9" s="54"/>
      <c r="F9" s="54"/>
      <c r="G9" s="16" t="s">
        <v>637</v>
      </c>
    </row>
    <row r="10" spans="1:7">
      <c r="A10" s="215" t="s">
        <v>632</v>
      </c>
      <c r="B10" s="215">
        <f>ROW()</f>
        <v>10</v>
      </c>
      <c r="C10" s="256" t="s">
        <v>636</v>
      </c>
      <c r="D10" s="86"/>
      <c r="E10" s="54"/>
      <c r="F10" s="54"/>
      <c r="G10" s="16" t="s">
        <v>637</v>
      </c>
    </row>
    <row r="11" spans="1:7">
      <c r="A11" s="215" t="s">
        <v>632</v>
      </c>
      <c r="B11" s="215">
        <f>ROW()</f>
        <v>11</v>
      </c>
      <c r="C11" s="256" t="s">
        <v>636</v>
      </c>
      <c r="D11" s="86"/>
      <c r="E11" s="54"/>
      <c r="F11" s="54"/>
      <c r="G11" s="16" t="s">
        <v>637</v>
      </c>
    </row>
    <row r="12" spans="1:7">
      <c r="A12" s="215" t="s">
        <v>632</v>
      </c>
      <c r="B12" s="215">
        <f>ROW()</f>
        <v>12</v>
      </c>
      <c r="C12" s="256" t="s">
        <v>636</v>
      </c>
      <c r="D12" s="86"/>
      <c r="E12" s="54"/>
      <c r="F12" s="54"/>
      <c r="G12" s="16" t="s">
        <v>637</v>
      </c>
    </row>
    <row r="13" spans="1:7">
      <c r="A13" s="215" t="s">
        <v>632</v>
      </c>
      <c r="B13" s="215">
        <f>ROW()</f>
        <v>13</v>
      </c>
      <c r="C13" s="256" t="s">
        <v>636</v>
      </c>
      <c r="D13" s="86"/>
      <c r="E13" s="54"/>
      <c r="F13" s="54"/>
      <c r="G13" s="16" t="s">
        <v>637</v>
      </c>
    </row>
    <row r="14" spans="1:7">
      <c r="A14" s="215" t="s">
        <v>632</v>
      </c>
      <c r="B14" s="215">
        <f>ROW()</f>
        <v>14</v>
      </c>
      <c r="C14" s="256" t="s">
        <v>636</v>
      </c>
      <c r="D14" s="86"/>
      <c r="E14" s="54"/>
      <c r="F14" s="54"/>
      <c r="G14" s="16" t="s">
        <v>637</v>
      </c>
    </row>
    <row r="15" spans="1:7">
      <c r="A15" s="215" t="s">
        <v>632</v>
      </c>
      <c r="B15" s="215">
        <f>ROW()</f>
        <v>15</v>
      </c>
      <c r="C15" s="256" t="s">
        <v>636</v>
      </c>
      <c r="D15" s="86"/>
      <c r="E15" s="54"/>
      <c r="F15" s="54"/>
      <c r="G15" s="16" t="s">
        <v>637</v>
      </c>
    </row>
    <row r="16" spans="1:7">
      <c r="A16" s="215" t="s">
        <v>632</v>
      </c>
      <c r="B16" s="215">
        <f>ROW()</f>
        <v>16</v>
      </c>
      <c r="C16" s="256" t="s">
        <v>636</v>
      </c>
      <c r="D16" s="86"/>
      <c r="E16" s="54"/>
      <c r="F16" s="54"/>
      <c r="G16" s="16" t="s">
        <v>637</v>
      </c>
    </row>
    <row r="17" spans="1:7">
      <c r="A17" s="215" t="s">
        <v>632</v>
      </c>
      <c r="B17" s="215">
        <f>ROW()</f>
        <v>17</v>
      </c>
      <c r="C17" s="256" t="s">
        <v>636</v>
      </c>
      <c r="D17" s="86"/>
      <c r="E17" s="54"/>
      <c r="F17" s="54"/>
      <c r="G17" s="16" t="s">
        <v>637</v>
      </c>
    </row>
    <row r="18" spans="1:7">
      <c r="A18" s="215" t="s">
        <v>632</v>
      </c>
      <c r="B18" s="215">
        <f>ROW()</f>
        <v>18</v>
      </c>
      <c r="C18" s="256" t="s">
        <v>636</v>
      </c>
      <c r="D18" s="86"/>
      <c r="E18" s="54"/>
      <c r="F18" s="54"/>
      <c r="G18" s="16" t="s">
        <v>637</v>
      </c>
    </row>
    <row r="19" spans="1:7">
      <c r="A19" s="215" t="s">
        <v>632</v>
      </c>
      <c r="B19" s="215">
        <f>ROW()</f>
        <v>19</v>
      </c>
      <c r="C19" s="256" t="s">
        <v>636</v>
      </c>
      <c r="D19" s="86"/>
      <c r="E19" s="54"/>
      <c r="F19" s="54"/>
      <c r="G19" s="16" t="s">
        <v>637</v>
      </c>
    </row>
    <row r="20" spans="1:7">
      <c r="A20" s="215" t="s">
        <v>632</v>
      </c>
      <c r="B20" s="215">
        <f>ROW()</f>
        <v>20</v>
      </c>
      <c r="C20" s="256" t="s">
        <v>636</v>
      </c>
      <c r="D20" s="86"/>
      <c r="E20" s="54"/>
      <c r="F20" s="54"/>
      <c r="G20" s="16" t="s">
        <v>637</v>
      </c>
    </row>
    <row r="21" spans="1:7">
      <c r="A21" s="215" t="s">
        <v>632</v>
      </c>
      <c r="B21" s="215">
        <f>ROW()</f>
        <v>21</v>
      </c>
      <c r="C21" s="256" t="s">
        <v>636</v>
      </c>
      <c r="D21" s="86"/>
      <c r="E21" s="54"/>
      <c r="F21" s="54"/>
      <c r="G21" s="16" t="s">
        <v>637</v>
      </c>
    </row>
    <row r="22" spans="1:7">
      <c r="A22" s="215" t="s">
        <v>632</v>
      </c>
      <c r="B22" s="215">
        <f>ROW()</f>
        <v>22</v>
      </c>
      <c r="C22" s="256" t="s">
        <v>636</v>
      </c>
      <c r="D22" s="86"/>
      <c r="E22" s="54"/>
      <c r="F22" s="54"/>
      <c r="G22" s="16" t="s">
        <v>637</v>
      </c>
    </row>
    <row r="23" spans="1:7">
      <c r="A23" s="215" t="s">
        <v>632</v>
      </c>
      <c r="B23" s="215">
        <f>ROW()</f>
        <v>23</v>
      </c>
      <c r="C23" s="256" t="s">
        <v>636</v>
      </c>
      <c r="D23" s="86"/>
      <c r="E23" s="54"/>
      <c r="F23" s="54"/>
      <c r="G23" s="16" t="s">
        <v>637</v>
      </c>
    </row>
    <row r="24" spans="1:7">
      <c r="A24" s="215" t="s">
        <v>632</v>
      </c>
      <c r="B24" s="215">
        <f>ROW()</f>
        <v>24</v>
      </c>
      <c r="C24" s="256" t="s">
        <v>636</v>
      </c>
      <c r="D24" s="86"/>
      <c r="E24" s="54"/>
      <c r="F24" s="54"/>
      <c r="G24" s="16" t="s">
        <v>637</v>
      </c>
    </row>
    <row r="25" spans="1:7">
      <c r="A25" s="215" t="s">
        <v>632</v>
      </c>
      <c r="B25" s="215">
        <f>ROW()</f>
        <v>25</v>
      </c>
      <c r="C25" s="256" t="s">
        <v>636</v>
      </c>
      <c r="D25" s="86"/>
      <c r="E25" s="54"/>
      <c r="F25" s="54"/>
      <c r="G25" s="16" t="s">
        <v>637</v>
      </c>
    </row>
    <row r="26" spans="1:7">
      <c r="A26" s="215" t="s">
        <v>632</v>
      </c>
      <c r="B26" s="215">
        <f>ROW()</f>
        <v>26</v>
      </c>
      <c r="C26" s="256" t="s">
        <v>636</v>
      </c>
      <c r="D26" s="86"/>
      <c r="E26" s="54"/>
      <c r="F26" s="54"/>
      <c r="G26" s="16" t="s">
        <v>637</v>
      </c>
    </row>
    <row r="27" spans="1:7">
      <c r="A27" s="215" t="s">
        <v>632</v>
      </c>
      <c r="B27" s="215">
        <f>ROW()</f>
        <v>27</v>
      </c>
      <c r="C27" s="256" t="s">
        <v>636</v>
      </c>
      <c r="D27" s="86"/>
      <c r="E27" s="54"/>
      <c r="F27" s="54"/>
      <c r="G27" s="16" t="s">
        <v>637</v>
      </c>
    </row>
    <row r="28" spans="1:7">
      <c r="A28" s="215" t="s">
        <v>632</v>
      </c>
      <c r="B28" s="215">
        <f>ROW()</f>
        <v>28</v>
      </c>
      <c r="C28" s="256" t="s">
        <v>636</v>
      </c>
      <c r="D28" s="86"/>
      <c r="E28" s="54"/>
      <c r="F28" s="54"/>
      <c r="G28" s="16" t="s">
        <v>637</v>
      </c>
    </row>
    <row r="29" spans="1:7">
      <c r="A29" s="215" t="s">
        <v>632</v>
      </c>
      <c r="B29" s="215">
        <f>ROW()</f>
        <v>29</v>
      </c>
      <c r="C29" s="256" t="s">
        <v>636</v>
      </c>
      <c r="D29" s="86"/>
      <c r="E29" s="54"/>
      <c r="F29" s="54"/>
      <c r="G29" s="16" t="s">
        <v>637</v>
      </c>
    </row>
    <row r="30" spans="1:7">
      <c r="A30" s="215" t="s">
        <v>632</v>
      </c>
      <c r="B30" s="215">
        <f>ROW()</f>
        <v>30</v>
      </c>
      <c r="C30" s="256" t="s">
        <v>636</v>
      </c>
      <c r="D30" s="86"/>
      <c r="E30" s="54"/>
      <c r="F30" s="54"/>
      <c r="G30" s="16" t="s">
        <v>637</v>
      </c>
    </row>
    <row r="31" spans="1:7">
      <c r="A31" s="215" t="s">
        <v>632</v>
      </c>
      <c r="B31" s="215">
        <f>ROW()</f>
        <v>31</v>
      </c>
      <c r="C31" s="256" t="s">
        <v>636</v>
      </c>
      <c r="D31" s="86"/>
      <c r="E31" s="54"/>
      <c r="F31" s="54"/>
      <c r="G31" s="16" t="s">
        <v>637</v>
      </c>
    </row>
    <row r="32" spans="1:7">
      <c r="A32" s="215" t="s">
        <v>632</v>
      </c>
      <c r="B32" s="215">
        <f>ROW()</f>
        <v>32</v>
      </c>
      <c r="C32" s="256" t="s">
        <v>636</v>
      </c>
      <c r="D32" s="86"/>
      <c r="E32" s="54"/>
      <c r="F32" s="54"/>
      <c r="G32" s="16" t="s">
        <v>637</v>
      </c>
    </row>
    <row r="33" spans="1:7">
      <c r="A33" s="215" t="s">
        <v>632</v>
      </c>
      <c r="B33" s="215">
        <f>ROW()</f>
        <v>33</v>
      </c>
      <c r="C33" s="256" t="s">
        <v>636</v>
      </c>
      <c r="D33" s="86"/>
      <c r="E33" s="54"/>
      <c r="F33" s="54"/>
      <c r="G33" s="16" t="s">
        <v>637</v>
      </c>
    </row>
    <row r="34" spans="1:7">
      <c r="A34" s="215" t="s">
        <v>632</v>
      </c>
      <c r="B34" s="215">
        <f>ROW()</f>
        <v>34</v>
      </c>
      <c r="C34" s="256" t="s">
        <v>636</v>
      </c>
      <c r="D34" s="86"/>
      <c r="E34" s="54"/>
      <c r="F34" s="54"/>
      <c r="G34" s="16" t="s">
        <v>637</v>
      </c>
    </row>
    <row r="35" spans="1:7">
      <c r="A35" s="215" t="s">
        <v>632</v>
      </c>
      <c r="B35" s="215">
        <f>ROW()</f>
        <v>35</v>
      </c>
      <c r="C35" s="256" t="s">
        <v>636</v>
      </c>
      <c r="D35" s="86"/>
      <c r="E35" s="54"/>
      <c r="F35" s="54"/>
      <c r="G35" s="16" t="s">
        <v>637</v>
      </c>
    </row>
    <row r="36" spans="1:7">
      <c r="A36" s="215" t="s">
        <v>632</v>
      </c>
      <c r="B36" s="215">
        <f>ROW()</f>
        <v>36</v>
      </c>
      <c r="C36" s="256" t="s">
        <v>636</v>
      </c>
      <c r="D36" s="86"/>
      <c r="E36" s="54"/>
      <c r="F36" s="54"/>
      <c r="G36" s="16" t="s">
        <v>637</v>
      </c>
    </row>
    <row r="37" spans="1:7">
      <c r="A37" s="215" t="s">
        <v>632</v>
      </c>
      <c r="B37" s="215">
        <f>ROW()</f>
        <v>37</v>
      </c>
      <c r="C37" s="256" t="s">
        <v>636</v>
      </c>
      <c r="D37" s="86"/>
      <c r="E37" s="54"/>
      <c r="F37" s="54"/>
      <c r="G37" s="16" t="s">
        <v>637</v>
      </c>
    </row>
    <row r="38" spans="1:7">
      <c r="A38" s="215" t="s">
        <v>632</v>
      </c>
      <c r="B38" s="215">
        <f>ROW()</f>
        <v>38</v>
      </c>
      <c r="C38" s="256" t="s">
        <v>636</v>
      </c>
      <c r="D38" s="86"/>
      <c r="E38" s="54"/>
      <c r="F38" s="54"/>
      <c r="G38" s="16" t="s">
        <v>637</v>
      </c>
    </row>
    <row r="39" spans="1:7">
      <c r="A39" s="215" t="s">
        <v>632</v>
      </c>
      <c r="B39" s="215">
        <f>ROW()</f>
        <v>39</v>
      </c>
      <c r="C39" s="256" t="s">
        <v>636</v>
      </c>
      <c r="D39" s="86"/>
      <c r="E39" s="54"/>
      <c r="F39" s="54"/>
      <c r="G39" s="16" t="s">
        <v>637</v>
      </c>
    </row>
    <row r="40" spans="1:7" ht="14.65" customHeight="1">
      <c r="A40" s="215" t="s">
        <v>632</v>
      </c>
      <c r="B40" s="215">
        <f>ROW()</f>
        <v>40</v>
      </c>
      <c r="C40" s="256" t="s">
        <v>636</v>
      </c>
      <c r="D40" s="86"/>
      <c r="E40" s="54"/>
      <c r="F40" s="54"/>
      <c r="G40" s="16" t="s">
        <v>637</v>
      </c>
    </row>
    <row r="41" spans="1:7">
      <c r="A41" s="215" t="s">
        <v>632</v>
      </c>
      <c r="B41" s="215">
        <f>ROW()</f>
        <v>41</v>
      </c>
      <c r="C41" s="256" t="s">
        <v>636</v>
      </c>
      <c r="D41" s="86"/>
      <c r="E41" s="54"/>
      <c r="F41" s="54"/>
      <c r="G41" s="16" t="s">
        <v>637</v>
      </c>
    </row>
    <row r="42" spans="1:7">
      <c r="A42" s="215" t="s">
        <v>632</v>
      </c>
      <c r="B42" s="215">
        <f>ROW()</f>
        <v>42</v>
      </c>
      <c r="C42" s="256" t="s">
        <v>636</v>
      </c>
      <c r="D42" s="86"/>
      <c r="E42" s="54"/>
      <c r="F42" s="54"/>
      <c r="G42" s="16" t="s">
        <v>637</v>
      </c>
    </row>
    <row r="43" spans="1:7">
      <c r="A43" s="215" t="s">
        <v>632</v>
      </c>
      <c r="B43" s="215">
        <f>ROW()</f>
        <v>43</v>
      </c>
      <c r="C43" s="256" t="s">
        <v>636</v>
      </c>
      <c r="D43" s="86"/>
      <c r="E43" s="54"/>
      <c r="F43" s="54"/>
      <c r="G43" s="16" t="s">
        <v>637</v>
      </c>
    </row>
    <row r="44" spans="1:7">
      <c r="A44" s="215" t="s">
        <v>632</v>
      </c>
      <c r="B44" s="215">
        <f>ROW()</f>
        <v>44</v>
      </c>
      <c r="C44" s="256" t="s">
        <v>636</v>
      </c>
      <c r="D44" s="86"/>
      <c r="E44" s="54"/>
      <c r="F44" s="54"/>
      <c r="G44" s="16" t="s">
        <v>637</v>
      </c>
    </row>
    <row r="45" spans="1:7">
      <c r="A45" s="215" t="s">
        <v>632</v>
      </c>
      <c r="B45" s="215">
        <f>ROW()</f>
        <v>45</v>
      </c>
      <c r="C45" s="256" t="s">
        <v>636</v>
      </c>
      <c r="D45" s="86"/>
      <c r="E45" s="54"/>
      <c r="F45" s="54"/>
      <c r="G45" s="16" t="s">
        <v>637</v>
      </c>
    </row>
    <row r="46" spans="1:7" ht="16.149999999999999" customHeight="1">
      <c r="A46" s="215" t="s">
        <v>632</v>
      </c>
      <c r="B46" s="215">
        <f>ROW()</f>
        <v>46</v>
      </c>
      <c r="C46" s="256" t="s">
        <v>636</v>
      </c>
      <c r="D46" s="86"/>
      <c r="E46" s="54"/>
      <c r="F46" s="54"/>
      <c r="G46" s="16" t="s">
        <v>637</v>
      </c>
    </row>
    <row r="47" spans="1:7" ht="15" thickBot="1">
      <c r="A47" s="215" t="s">
        <v>632</v>
      </c>
      <c r="B47" s="215">
        <f>ROW()</f>
        <v>47</v>
      </c>
      <c r="C47" s="256" t="s">
        <v>636</v>
      </c>
      <c r="D47" s="86"/>
      <c r="E47" s="54"/>
      <c r="F47" s="54"/>
      <c r="G47" s="16" t="s">
        <v>637</v>
      </c>
    </row>
    <row r="48" spans="1:7" ht="15" thickBot="1">
      <c r="A48" s="215" t="s">
        <v>632</v>
      </c>
      <c r="B48" s="215">
        <f>ROW()</f>
        <v>48</v>
      </c>
      <c r="C48" s="219" t="s">
        <v>476</v>
      </c>
      <c r="D48" s="60"/>
      <c r="E48" s="144">
        <f>SUM(E6:E47)</f>
        <v>0</v>
      </c>
      <c r="F48" s="144">
        <f>SUM(F6:F47)</f>
        <v>0</v>
      </c>
      <c r="G48" s="16" t="s">
        <v>637</v>
      </c>
    </row>
    <row r="51" spans="1:6" ht="21">
      <c r="B51" s="61" t="s">
        <v>638</v>
      </c>
    </row>
    <row r="52" spans="1:6" ht="29">
      <c r="A52" s="221" t="s">
        <v>80</v>
      </c>
      <c r="B52" s="222" t="s">
        <v>81</v>
      </c>
      <c r="C52" s="5" t="s">
        <v>83</v>
      </c>
      <c r="D52" s="5" t="s">
        <v>633</v>
      </c>
      <c r="E52" s="5" t="s">
        <v>634</v>
      </c>
      <c r="F52" s="8" t="s">
        <v>635</v>
      </c>
    </row>
    <row r="53" spans="1:6" ht="16.149999999999999" customHeight="1">
      <c r="A53" s="215" t="s">
        <v>638</v>
      </c>
      <c r="B53" s="215">
        <f>ROW()</f>
        <v>53</v>
      </c>
      <c r="C53" s="220" t="s">
        <v>639</v>
      </c>
      <c r="D53" s="86"/>
      <c r="E53" s="54"/>
      <c r="F53" s="75"/>
    </row>
    <row r="54" spans="1:6">
      <c r="A54" s="215" t="s">
        <v>638</v>
      </c>
      <c r="B54" s="215">
        <f>ROW()</f>
        <v>54</v>
      </c>
      <c r="C54" s="220" t="s">
        <v>639</v>
      </c>
      <c r="D54" s="86"/>
      <c r="E54" s="54"/>
      <c r="F54" s="75"/>
    </row>
    <row r="55" spans="1:6">
      <c r="A55" s="215" t="s">
        <v>638</v>
      </c>
      <c r="B55" s="215">
        <f>ROW()</f>
        <v>55</v>
      </c>
      <c r="C55" s="220" t="s">
        <v>639</v>
      </c>
      <c r="D55" s="86"/>
      <c r="E55" s="54"/>
      <c r="F55" s="75"/>
    </row>
    <row r="56" spans="1:6">
      <c r="A56" s="215" t="s">
        <v>638</v>
      </c>
      <c r="B56" s="215">
        <f>ROW()</f>
        <v>56</v>
      </c>
      <c r="C56" s="220" t="s">
        <v>639</v>
      </c>
      <c r="D56" s="86"/>
      <c r="E56" s="54"/>
      <c r="F56" s="75"/>
    </row>
    <row r="57" spans="1:6">
      <c r="A57" s="215" t="s">
        <v>638</v>
      </c>
      <c r="B57" s="215">
        <f>ROW()</f>
        <v>57</v>
      </c>
      <c r="C57" s="220" t="s">
        <v>639</v>
      </c>
      <c r="D57" s="86"/>
      <c r="E57" s="54"/>
      <c r="F57" s="75"/>
    </row>
    <row r="58" spans="1:6">
      <c r="A58" s="215" t="s">
        <v>638</v>
      </c>
      <c r="B58" s="215">
        <f>ROW()</f>
        <v>58</v>
      </c>
      <c r="C58" s="220" t="s">
        <v>639</v>
      </c>
      <c r="D58" s="86"/>
      <c r="E58" s="54"/>
      <c r="F58" s="75"/>
    </row>
    <row r="59" spans="1:6">
      <c r="A59" s="215" t="s">
        <v>638</v>
      </c>
      <c r="B59" s="215">
        <f>ROW()</f>
        <v>59</v>
      </c>
      <c r="C59" s="220" t="s">
        <v>639</v>
      </c>
      <c r="D59" s="86"/>
      <c r="E59" s="54"/>
      <c r="F59" s="75"/>
    </row>
    <row r="60" spans="1:6">
      <c r="A60" s="215" t="s">
        <v>638</v>
      </c>
      <c r="B60" s="215">
        <f>ROW()</f>
        <v>60</v>
      </c>
      <c r="C60" s="220" t="s">
        <v>639</v>
      </c>
      <c r="D60" s="86"/>
      <c r="E60" s="54"/>
      <c r="F60" s="75"/>
    </row>
    <row r="61" spans="1:6">
      <c r="A61" s="215" t="s">
        <v>638</v>
      </c>
      <c r="B61" s="215">
        <f>ROW()</f>
        <v>61</v>
      </c>
      <c r="C61" s="220" t="s">
        <v>639</v>
      </c>
      <c r="D61" s="86"/>
      <c r="E61" s="54"/>
      <c r="F61" s="75"/>
    </row>
    <row r="62" spans="1:6">
      <c r="A62" s="215" t="s">
        <v>638</v>
      </c>
      <c r="B62" s="215">
        <f>ROW()</f>
        <v>62</v>
      </c>
      <c r="C62" s="220" t="s">
        <v>639</v>
      </c>
      <c r="D62" s="86"/>
      <c r="E62" s="54"/>
      <c r="F62" s="75"/>
    </row>
    <row r="63" spans="1:6">
      <c r="A63" s="215" t="s">
        <v>638</v>
      </c>
      <c r="B63" s="215">
        <f>ROW()</f>
        <v>63</v>
      </c>
      <c r="C63" s="220" t="s">
        <v>639</v>
      </c>
      <c r="D63" s="86"/>
      <c r="E63" s="54"/>
      <c r="F63" s="75"/>
    </row>
    <row r="64" spans="1:6">
      <c r="A64" s="215" t="s">
        <v>638</v>
      </c>
      <c r="B64" s="215">
        <f>ROW()</f>
        <v>64</v>
      </c>
      <c r="C64" s="220" t="s">
        <v>639</v>
      </c>
      <c r="D64" s="86"/>
      <c r="E64" s="54"/>
      <c r="F64" s="75"/>
    </row>
    <row r="65" spans="1:7">
      <c r="A65" s="215" t="s">
        <v>638</v>
      </c>
      <c r="B65" s="215">
        <f>ROW()</f>
        <v>65</v>
      </c>
      <c r="C65" s="220" t="s">
        <v>639</v>
      </c>
      <c r="D65" s="86"/>
      <c r="E65" s="54"/>
      <c r="F65" s="75"/>
    </row>
    <row r="66" spans="1:7">
      <c r="A66" s="215" t="s">
        <v>638</v>
      </c>
      <c r="B66" s="215">
        <f>ROW()</f>
        <v>66</v>
      </c>
      <c r="C66" s="220" t="s">
        <v>639</v>
      </c>
      <c r="D66" s="86"/>
      <c r="E66" s="54"/>
      <c r="F66" s="75"/>
    </row>
    <row r="67" spans="1:7">
      <c r="A67" s="215" t="s">
        <v>638</v>
      </c>
      <c r="B67" s="215">
        <f>ROW()</f>
        <v>67</v>
      </c>
      <c r="C67" s="220" t="s">
        <v>639</v>
      </c>
      <c r="D67" s="86"/>
      <c r="E67" s="54"/>
      <c r="F67" s="75"/>
    </row>
    <row r="68" spans="1:7">
      <c r="A68" s="215" t="s">
        <v>638</v>
      </c>
      <c r="B68" s="215">
        <f>ROW()</f>
        <v>68</v>
      </c>
      <c r="C68" s="220" t="s">
        <v>639</v>
      </c>
      <c r="D68" s="86"/>
      <c r="E68" s="54"/>
      <c r="F68" s="75"/>
    </row>
    <row r="69" spans="1:7">
      <c r="A69" s="215" t="s">
        <v>638</v>
      </c>
      <c r="B69" s="215">
        <f>ROW()</f>
        <v>69</v>
      </c>
      <c r="C69" s="220" t="s">
        <v>639</v>
      </c>
      <c r="D69" s="86"/>
      <c r="E69" s="54"/>
      <c r="F69" s="75"/>
    </row>
    <row r="70" spans="1:7">
      <c r="A70" s="215" t="s">
        <v>638</v>
      </c>
      <c r="B70" s="215">
        <f>ROW()</f>
        <v>70</v>
      </c>
      <c r="C70" s="220" t="s">
        <v>639</v>
      </c>
      <c r="D70" s="86"/>
      <c r="E70" s="54"/>
      <c r="F70" s="75"/>
    </row>
    <row r="71" spans="1:7">
      <c r="A71" s="215" t="s">
        <v>638</v>
      </c>
      <c r="B71" s="215">
        <f>ROW()</f>
        <v>71</v>
      </c>
      <c r="C71" s="220" t="s">
        <v>639</v>
      </c>
      <c r="D71" s="86"/>
      <c r="E71" s="54"/>
      <c r="F71" s="75"/>
    </row>
    <row r="72" spans="1:7">
      <c r="A72" s="215" t="s">
        <v>638</v>
      </c>
      <c r="B72" s="215">
        <f>ROW()</f>
        <v>72</v>
      </c>
      <c r="C72" s="220" t="s">
        <v>639</v>
      </c>
      <c r="D72" s="86"/>
      <c r="E72" s="54"/>
      <c r="F72" s="75"/>
    </row>
    <row r="73" spans="1:7">
      <c r="A73" s="215" t="s">
        <v>638</v>
      </c>
      <c r="B73" s="215">
        <f>ROW()</f>
        <v>73</v>
      </c>
      <c r="C73" s="220" t="s">
        <v>639</v>
      </c>
      <c r="D73" s="86"/>
      <c r="E73" s="54"/>
      <c r="F73" s="75"/>
    </row>
    <row r="74" spans="1:7" ht="15" thickBot="1">
      <c r="A74" s="215" t="s">
        <v>638</v>
      </c>
      <c r="B74" s="215">
        <f>ROW()</f>
        <v>74</v>
      </c>
      <c r="C74" s="220" t="s">
        <v>639</v>
      </c>
      <c r="D74" s="86"/>
      <c r="E74" s="54"/>
      <c r="F74" s="75"/>
    </row>
    <row r="75" spans="1:7" ht="15" thickBot="1">
      <c r="A75" s="215" t="s">
        <v>638</v>
      </c>
      <c r="B75" s="215">
        <f>ROW()</f>
        <v>75</v>
      </c>
      <c r="C75" s="219" t="s">
        <v>476</v>
      </c>
      <c r="D75" s="60"/>
      <c r="E75" s="144">
        <f>SUM(E53:E74)</f>
        <v>0</v>
      </c>
      <c r="F75" s="144">
        <f>SUM(F53:F74)</f>
        <v>0</v>
      </c>
    </row>
    <row r="76" spans="1:7">
      <c r="D76" s="42"/>
      <c r="E76" s="42"/>
      <c r="F76" s="42"/>
      <c r="G76" s="42"/>
    </row>
    <row r="78" spans="1:7" ht="21">
      <c r="B78" s="61" t="s">
        <v>638</v>
      </c>
    </row>
    <row r="79" spans="1:7" ht="29">
      <c r="A79" s="221" t="s">
        <v>80</v>
      </c>
      <c r="B79" s="222" t="s">
        <v>81</v>
      </c>
      <c r="C79" s="5" t="s">
        <v>83</v>
      </c>
      <c r="D79" s="5" t="s">
        <v>633</v>
      </c>
      <c r="E79" s="5" t="s">
        <v>634</v>
      </c>
      <c r="F79" s="8" t="s">
        <v>635</v>
      </c>
    </row>
    <row r="80" spans="1:7">
      <c r="A80" s="215" t="s">
        <v>638</v>
      </c>
      <c r="B80" s="215">
        <f>ROW()</f>
        <v>80</v>
      </c>
      <c r="C80" s="220" t="s">
        <v>640</v>
      </c>
      <c r="D80" s="86"/>
      <c r="E80" s="54"/>
      <c r="F80" s="75"/>
    </row>
    <row r="81" spans="1:6">
      <c r="A81" s="215" t="s">
        <v>638</v>
      </c>
      <c r="B81" s="215">
        <f>ROW()</f>
        <v>81</v>
      </c>
      <c r="C81" s="220" t="s">
        <v>640</v>
      </c>
      <c r="D81" s="86"/>
      <c r="E81" s="54"/>
      <c r="F81" s="75"/>
    </row>
    <row r="82" spans="1:6">
      <c r="A82" s="215" t="s">
        <v>638</v>
      </c>
      <c r="B82" s="215">
        <f>ROW()</f>
        <v>82</v>
      </c>
      <c r="C82" s="220" t="s">
        <v>640</v>
      </c>
      <c r="D82" s="86"/>
      <c r="E82" s="54"/>
      <c r="F82" s="75"/>
    </row>
    <row r="83" spans="1:6">
      <c r="A83" s="215" t="s">
        <v>638</v>
      </c>
      <c r="B83" s="215">
        <f>ROW()</f>
        <v>83</v>
      </c>
      <c r="C83" s="220" t="s">
        <v>640</v>
      </c>
      <c r="D83" s="86"/>
      <c r="E83" s="54"/>
      <c r="F83" s="75"/>
    </row>
    <row r="84" spans="1:6">
      <c r="A84" s="215" t="s">
        <v>638</v>
      </c>
      <c r="B84" s="215">
        <f>ROW()</f>
        <v>84</v>
      </c>
      <c r="C84" s="220" t="s">
        <v>640</v>
      </c>
      <c r="D84" s="86"/>
      <c r="E84" s="54"/>
      <c r="F84" s="75"/>
    </row>
    <row r="85" spans="1:6">
      <c r="A85" s="215" t="s">
        <v>638</v>
      </c>
      <c r="B85" s="215">
        <f>ROW()</f>
        <v>85</v>
      </c>
      <c r="C85" s="220" t="s">
        <v>640</v>
      </c>
      <c r="D85" s="86"/>
      <c r="E85" s="54"/>
      <c r="F85" s="75"/>
    </row>
    <row r="86" spans="1:6">
      <c r="A86" s="215" t="s">
        <v>638</v>
      </c>
      <c r="B86" s="215">
        <f>ROW()</f>
        <v>86</v>
      </c>
      <c r="C86" s="220" t="s">
        <v>640</v>
      </c>
      <c r="D86" s="86"/>
      <c r="E86" s="54"/>
      <c r="F86" s="75"/>
    </row>
    <row r="87" spans="1:6">
      <c r="A87" s="215" t="s">
        <v>638</v>
      </c>
      <c r="B87" s="215">
        <f>ROW()</f>
        <v>87</v>
      </c>
      <c r="C87" s="220" t="s">
        <v>640</v>
      </c>
      <c r="D87" s="86"/>
      <c r="E87" s="54"/>
      <c r="F87" s="75"/>
    </row>
    <row r="88" spans="1:6">
      <c r="A88" s="215" t="s">
        <v>638</v>
      </c>
      <c r="B88" s="215">
        <f>ROW()</f>
        <v>88</v>
      </c>
      <c r="C88" s="220" t="s">
        <v>640</v>
      </c>
      <c r="D88" s="86"/>
      <c r="E88" s="54"/>
      <c r="F88" s="75"/>
    </row>
    <row r="89" spans="1:6">
      <c r="A89" s="215" t="s">
        <v>638</v>
      </c>
      <c r="B89" s="215">
        <f>ROW()</f>
        <v>89</v>
      </c>
      <c r="C89" s="220" t="s">
        <v>640</v>
      </c>
      <c r="D89" s="86"/>
      <c r="E89" s="54"/>
      <c r="F89" s="75"/>
    </row>
    <row r="90" spans="1:6">
      <c r="A90" s="215" t="s">
        <v>638</v>
      </c>
      <c r="B90" s="215">
        <f>ROW()</f>
        <v>90</v>
      </c>
      <c r="C90" s="220" t="s">
        <v>640</v>
      </c>
      <c r="D90" s="86"/>
      <c r="E90" s="54"/>
      <c r="F90" s="75"/>
    </row>
    <row r="91" spans="1:6">
      <c r="A91" s="215" t="s">
        <v>638</v>
      </c>
      <c r="B91" s="215">
        <f>ROW()</f>
        <v>91</v>
      </c>
      <c r="C91" s="220" t="s">
        <v>640</v>
      </c>
      <c r="D91" s="86"/>
      <c r="E91" s="54"/>
      <c r="F91" s="75"/>
    </row>
    <row r="92" spans="1:6">
      <c r="A92" s="215" t="s">
        <v>638</v>
      </c>
      <c r="B92" s="215">
        <f>ROW()</f>
        <v>92</v>
      </c>
      <c r="C92" s="220" t="s">
        <v>640</v>
      </c>
      <c r="D92" s="86"/>
      <c r="E92" s="54"/>
      <c r="F92" s="75"/>
    </row>
    <row r="93" spans="1:6">
      <c r="A93" s="215" t="s">
        <v>638</v>
      </c>
      <c r="B93" s="215">
        <f>ROW()</f>
        <v>93</v>
      </c>
      <c r="C93" s="220" t="s">
        <v>640</v>
      </c>
      <c r="D93" s="86"/>
      <c r="E93" s="54"/>
      <c r="F93" s="75"/>
    </row>
    <row r="94" spans="1:6">
      <c r="A94" s="215" t="s">
        <v>638</v>
      </c>
      <c r="B94" s="215">
        <f>ROW()</f>
        <v>94</v>
      </c>
      <c r="C94" s="220" t="s">
        <v>640</v>
      </c>
      <c r="D94" s="86"/>
      <c r="E94" s="54"/>
      <c r="F94" s="75"/>
    </row>
    <row r="95" spans="1:6">
      <c r="A95" s="215" t="s">
        <v>638</v>
      </c>
      <c r="B95" s="215">
        <f>ROW()</f>
        <v>95</v>
      </c>
      <c r="C95" s="220" t="s">
        <v>640</v>
      </c>
      <c r="D95" s="86"/>
      <c r="E95" s="54"/>
      <c r="F95" s="75"/>
    </row>
    <row r="96" spans="1:6">
      <c r="A96" s="215" t="s">
        <v>638</v>
      </c>
      <c r="B96" s="215">
        <f>ROW()</f>
        <v>96</v>
      </c>
      <c r="C96" s="220" t="s">
        <v>640</v>
      </c>
      <c r="D96" s="86"/>
      <c r="E96" s="54"/>
      <c r="F96" s="75"/>
    </row>
    <row r="97" spans="1:6" ht="15" thickBot="1">
      <c r="A97" s="215" t="s">
        <v>638</v>
      </c>
      <c r="B97" s="215">
        <f>ROW()</f>
        <v>97</v>
      </c>
      <c r="C97" s="220" t="s">
        <v>640</v>
      </c>
      <c r="D97" s="86"/>
      <c r="E97" s="54"/>
      <c r="F97" s="75"/>
    </row>
    <row r="98" spans="1:6" ht="15" thickBot="1">
      <c r="A98" s="215" t="s">
        <v>638</v>
      </c>
      <c r="B98" s="215">
        <f>ROW()</f>
        <v>98</v>
      </c>
      <c r="C98" s="219" t="s">
        <v>476</v>
      </c>
      <c r="D98" s="60"/>
      <c r="E98" s="144">
        <f>SUM(E80:E97)</f>
        <v>0</v>
      </c>
      <c r="F98" s="144">
        <f>SUM(F80:F97)</f>
        <v>0</v>
      </c>
    </row>
    <row r="99" spans="1:6">
      <c r="D99" s="42"/>
    </row>
    <row r="101" spans="1:6" ht="21">
      <c r="B101" s="61" t="s">
        <v>641</v>
      </c>
    </row>
    <row r="102" spans="1:6">
      <c r="A102" s="221" t="s">
        <v>80</v>
      </c>
      <c r="B102" s="222" t="s">
        <v>81</v>
      </c>
      <c r="C102" s="5" t="s">
        <v>83</v>
      </c>
      <c r="D102" s="5" t="s">
        <v>634</v>
      </c>
      <c r="E102" s="8" t="s">
        <v>642</v>
      </c>
    </row>
    <row r="103" spans="1:6">
      <c r="A103" s="215" t="s">
        <v>641</v>
      </c>
      <c r="B103" s="215">
        <f>ROW()</f>
        <v>103</v>
      </c>
      <c r="C103" s="220" t="s">
        <v>643</v>
      </c>
      <c r="D103" s="54"/>
      <c r="E103" s="75"/>
    </row>
    <row r="104" spans="1:6">
      <c r="A104" s="215" t="s">
        <v>641</v>
      </c>
      <c r="B104" s="215">
        <f>ROW()</f>
        <v>104</v>
      </c>
      <c r="C104" s="220" t="s">
        <v>644</v>
      </c>
      <c r="D104" s="54"/>
      <c r="E104" s="75"/>
    </row>
    <row r="105" spans="1:6">
      <c r="A105" s="215" t="s">
        <v>641</v>
      </c>
      <c r="B105" s="215">
        <f>ROW()</f>
        <v>105</v>
      </c>
      <c r="C105" s="220" t="s">
        <v>645</v>
      </c>
      <c r="D105" s="54"/>
      <c r="E105" s="75"/>
    </row>
    <row r="106" spans="1:6">
      <c r="A106" s="215" t="s">
        <v>641</v>
      </c>
      <c r="B106" s="215">
        <f>ROW()</f>
        <v>106</v>
      </c>
      <c r="C106" s="220" t="s">
        <v>646</v>
      </c>
      <c r="D106" s="54"/>
      <c r="E106" s="75"/>
    </row>
    <row r="109" spans="1:6" ht="21">
      <c r="A109" s="269"/>
      <c r="B109" s="284" t="s">
        <v>647</v>
      </c>
      <c r="C109" s="285"/>
      <c r="D109" s="285"/>
      <c r="E109" s="286"/>
      <c r="F109" s="286"/>
    </row>
    <row r="110" spans="1:6" ht="15" thickBot="1">
      <c r="A110" s="221" t="s">
        <v>80</v>
      </c>
      <c r="B110" s="287" t="s">
        <v>81</v>
      </c>
      <c r="C110" s="48" t="s">
        <v>151</v>
      </c>
      <c r="D110" s="48" t="s">
        <v>634</v>
      </c>
      <c r="E110" s="288" t="s">
        <v>642</v>
      </c>
    </row>
    <row r="111" spans="1:6" ht="15" thickBot="1">
      <c r="A111" s="283" t="s">
        <v>647</v>
      </c>
      <c r="B111" s="283">
        <f>ROW()</f>
        <v>111</v>
      </c>
      <c r="C111" s="247" t="s">
        <v>423</v>
      </c>
      <c r="D111" s="144">
        <f>E48+E75+E98+SUM(D103:D106)</f>
        <v>0</v>
      </c>
      <c r="E111" s="144">
        <f>F48+F75+F98+SUM(E103:E106)</f>
        <v>0</v>
      </c>
    </row>
    <row r="113" spans="1:8" ht="17.149999999999999" customHeight="1"/>
    <row r="114" spans="1:8" ht="21">
      <c r="B114" s="61" t="s">
        <v>648</v>
      </c>
    </row>
    <row r="115" spans="1:8">
      <c r="B115" s="239" t="s">
        <v>649</v>
      </c>
    </row>
    <row r="116" spans="1:8" ht="29">
      <c r="A116" s="221" t="s">
        <v>80</v>
      </c>
      <c r="B116" s="222" t="s">
        <v>81</v>
      </c>
      <c r="C116" s="5" t="s">
        <v>83</v>
      </c>
      <c r="D116" s="5" t="s">
        <v>650</v>
      </c>
      <c r="E116" s="8" t="s">
        <v>651</v>
      </c>
      <c r="F116" s="8" t="s">
        <v>652</v>
      </c>
      <c r="G116" s="8" t="s">
        <v>476</v>
      </c>
    </row>
    <row r="117" spans="1:8">
      <c r="A117" s="215" t="s">
        <v>653</v>
      </c>
      <c r="B117" s="215">
        <f>ROW()</f>
        <v>117</v>
      </c>
      <c r="C117" s="220" t="s">
        <v>654</v>
      </c>
      <c r="D117" s="54"/>
      <c r="E117" s="54"/>
      <c r="F117" s="54"/>
      <c r="G117" s="9">
        <f>D117+E117+F117</f>
        <v>0</v>
      </c>
      <c r="H117" s="45" t="s">
        <v>655</v>
      </c>
    </row>
    <row r="118" spans="1:8">
      <c r="A118" s="215" t="s">
        <v>653</v>
      </c>
      <c r="B118" s="215">
        <f>ROW()</f>
        <v>118</v>
      </c>
      <c r="C118" s="220" t="s">
        <v>656</v>
      </c>
      <c r="D118" s="54"/>
      <c r="E118" s="54"/>
      <c r="F118" s="54"/>
      <c r="G118" s="9">
        <f>D118+E118+F118</f>
        <v>0</v>
      </c>
      <c r="H118" s="45" t="s">
        <v>655</v>
      </c>
    </row>
    <row r="119" spans="1:8">
      <c r="A119" s="51"/>
      <c r="D119" s="42"/>
    </row>
    <row r="120" spans="1:8">
      <c r="D120" s="42"/>
    </row>
    <row r="121" spans="1:8" ht="21">
      <c r="B121" s="61" t="s">
        <v>744</v>
      </c>
    </row>
    <row r="122" spans="1:8">
      <c r="B122" s="239" t="s">
        <v>743</v>
      </c>
    </row>
    <row r="123" spans="1:8">
      <c r="A123" s="221" t="s">
        <v>80</v>
      </c>
      <c r="B123" s="222" t="s">
        <v>81</v>
      </c>
      <c r="C123" s="5" t="s">
        <v>83</v>
      </c>
      <c r="D123" s="5" t="s">
        <v>657</v>
      </c>
      <c r="E123" s="8" t="s">
        <v>521</v>
      </c>
      <c r="F123" s="8" t="s">
        <v>476</v>
      </c>
    </row>
    <row r="124" spans="1:8" ht="16.5" customHeight="1">
      <c r="A124" s="215" t="s">
        <v>658</v>
      </c>
      <c r="B124" s="215">
        <f>ROW()</f>
        <v>124</v>
      </c>
      <c r="C124" s="220" t="s">
        <v>659</v>
      </c>
      <c r="D124" s="54"/>
      <c r="E124" s="54"/>
      <c r="F124" s="9">
        <f>D124+E124</f>
        <v>0</v>
      </c>
      <c r="G124" s="45"/>
    </row>
    <row r="125" spans="1:8" ht="18.75" customHeight="1" thickBot="1">
      <c r="A125" s="215" t="s">
        <v>658</v>
      </c>
      <c r="B125" s="215">
        <f>ROW()</f>
        <v>125</v>
      </c>
      <c r="C125" s="220" t="s">
        <v>660</v>
      </c>
      <c r="D125" s="54"/>
      <c r="E125" s="54"/>
      <c r="F125" s="9">
        <f t="shared" ref="F125" si="0">D125+E125</f>
        <v>0</v>
      </c>
      <c r="G125" s="45"/>
    </row>
    <row r="126" spans="1:8" ht="15" thickBot="1">
      <c r="A126" s="215" t="s">
        <v>658</v>
      </c>
      <c r="B126" s="215">
        <f>ROW()</f>
        <v>126</v>
      </c>
      <c r="C126" s="219" t="s">
        <v>661</v>
      </c>
      <c r="D126" s="197">
        <f>D124+D125</f>
        <v>0</v>
      </c>
      <c r="E126" s="197">
        <f>E124+E125</f>
        <v>0</v>
      </c>
      <c r="F126" s="9">
        <f>D126+E126</f>
        <v>0</v>
      </c>
      <c r="G126" s="45"/>
    </row>
    <row r="127" spans="1:8">
      <c r="A127" s="215" t="s">
        <v>658</v>
      </c>
      <c r="B127" s="215">
        <f>ROW()</f>
        <v>127</v>
      </c>
      <c r="C127" s="220" t="s">
        <v>662</v>
      </c>
      <c r="D127" s="10"/>
      <c r="E127" s="54"/>
      <c r="F127" s="9">
        <f>E127</f>
        <v>0</v>
      </c>
      <c r="G127" s="45"/>
    </row>
    <row r="128" spans="1:8">
      <c r="A128" s="215" t="s">
        <v>658</v>
      </c>
      <c r="B128" s="215">
        <f>ROW()</f>
        <v>128</v>
      </c>
      <c r="C128" s="219" t="s">
        <v>663</v>
      </c>
      <c r="D128" s="10"/>
      <c r="E128" s="10"/>
      <c r="F128" s="9">
        <f>F126-F127</f>
        <v>0</v>
      </c>
      <c r="G128" s="45"/>
    </row>
    <row r="129" spans="1:7">
      <c r="A129" s="254"/>
      <c r="B129" s="239" t="s">
        <v>664</v>
      </c>
      <c r="C129" s="220"/>
      <c r="D129" s="220"/>
      <c r="E129" s="255"/>
      <c r="F129" s="255"/>
      <c r="G129" s="236"/>
    </row>
    <row r="130" spans="1:7" ht="15.65" customHeight="1">
      <c r="D130" s="42"/>
    </row>
    <row r="131" spans="1:7" ht="21">
      <c r="B131" s="61" t="s">
        <v>665</v>
      </c>
    </row>
    <row r="132" spans="1:7">
      <c r="A132" s="221" t="s">
        <v>80</v>
      </c>
      <c r="B132" s="222" t="s">
        <v>81</v>
      </c>
      <c r="C132" s="5" t="s">
        <v>83</v>
      </c>
      <c r="D132" s="5" t="s">
        <v>657</v>
      </c>
      <c r="E132" s="8" t="s">
        <v>521</v>
      </c>
    </row>
    <row r="133" spans="1:7" ht="29">
      <c r="A133" s="215" t="s">
        <v>665</v>
      </c>
      <c r="B133" s="215">
        <f>ROW()</f>
        <v>133</v>
      </c>
      <c r="C133" s="261" t="s">
        <v>666</v>
      </c>
      <c r="D133" s="54"/>
      <c r="E133" s="54"/>
    </row>
    <row r="134" spans="1:7" ht="29">
      <c r="A134" s="215" t="s">
        <v>665</v>
      </c>
      <c r="B134" s="215">
        <f>ROW()</f>
        <v>134</v>
      </c>
      <c r="C134" s="261" t="s">
        <v>666</v>
      </c>
      <c r="D134" s="54"/>
      <c r="E134" s="54"/>
    </row>
    <row r="135" spans="1:7" ht="29">
      <c r="A135" s="215" t="s">
        <v>665</v>
      </c>
      <c r="B135" s="215">
        <f>ROW()</f>
        <v>135</v>
      </c>
      <c r="C135" s="261" t="s">
        <v>666</v>
      </c>
      <c r="D135" s="54"/>
      <c r="E135" s="54"/>
    </row>
    <row r="136" spans="1:7" ht="29">
      <c r="A136" s="215" t="s">
        <v>665</v>
      </c>
      <c r="B136" s="215">
        <f>ROW()</f>
        <v>136</v>
      </c>
      <c r="C136" s="261" t="s">
        <v>666</v>
      </c>
      <c r="D136" s="54"/>
      <c r="E136" s="54"/>
    </row>
    <row r="137" spans="1:7" ht="29">
      <c r="A137" s="215" t="s">
        <v>665</v>
      </c>
      <c r="B137" s="215">
        <f>ROW()</f>
        <v>137</v>
      </c>
      <c r="C137" s="261" t="s">
        <v>666</v>
      </c>
      <c r="D137" s="54"/>
      <c r="E137" s="54"/>
    </row>
    <row r="138" spans="1:7" ht="29">
      <c r="A138" s="215" t="s">
        <v>665</v>
      </c>
      <c r="B138" s="215">
        <f>ROW()</f>
        <v>138</v>
      </c>
      <c r="C138" s="261" t="s">
        <v>666</v>
      </c>
      <c r="D138" s="54"/>
      <c r="E138" s="54"/>
    </row>
    <row r="139" spans="1:7" ht="29">
      <c r="A139" s="215" t="s">
        <v>665</v>
      </c>
      <c r="B139" s="215">
        <f>ROW()</f>
        <v>139</v>
      </c>
      <c r="C139" s="261" t="s">
        <v>666</v>
      </c>
      <c r="D139" s="54"/>
      <c r="E139" s="54"/>
    </row>
    <row r="140" spans="1:7" ht="29">
      <c r="A140" s="215" t="s">
        <v>665</v>
      </c>
      <c r="B140" s="215">
        <f>ROW()</f>
        <v>140</v>
      </c>
      <c r="C140" s="261" t="s">
        <v>666</v>
      </c>
      <c r="D140" s="54"/>
      <c r="E140" s="54"/>
    </row>
    <row r="141" spans="1:7" ht="29">
      <c r="A141" s="215" t="s">
        <v>665</v>
      </c>
      <c r="B141" s="215">
        <f>ROW()</f>
        <v>141</v>
      </c>
      <c r="C141" s="261" t="s">
        <v>666</v>
      </c>
      <c r="D141" s="54"/>
      <c r="E141" s="54"/>
    </row>
    <row r="143" spans="1:7">
      <c r="D143" s="42"/>
    </row>
    <row r="144" spans="1:7" ht="21">
      <c r="B144" s="61" t="s">
        <v>667</v>
      </c>
    </row>
    <row r="145" spans="1:7">
      <c r="A145" s="221" t="s">
        <v>80</v>
      </c>
      <c r="B145" s="222" t="s">
        <v>81</v>
      </c>
      <c r="C145" s="5" t="s">
        <v>83</v>
      </c>
      <c r="D145" s="5" t="s">
        <v>414</v>
      </c>
      <c r="E145" s="8" t="s">
        <v>382</v>
      </c>
      <c r="F145" s="7" t="s">
        <v>668</v>
      </c>
      <c r="G145" s="8" t="s">
        <v>476</v>
      </c>
    </row>
    <row r="146" spans="1:7">
      <c r="A146" s="215" t="s">
        <v>667</v>
      </c>
      <c r="B146" s="215">
        <f>ROW()</f>
        <v>146</v>
      </c>
      <c r="C146" s="220" t="s">
        <v>669</v>
      </c>
      <c r="D146" s="54"/>
      <c r="E146" s="54"/>
      <c r="F146" s="54"/>
      <c r="G146" s="9">
        <f>D146+E146+F146</f>
        <v>0</v>
      </c>
    </row>
    <row r="149" spans="1:7" ht="21">
      <c r="B149" s="61" t="s">
        <v>667</v>
      </c>
    </row>
    <row r="150" spans="1:7">
      <c r="A150" s="221" t="s">
        <v>80</v>
      </c>
      <c r="B150" s="222" t="s">
        <v>81</v>
      </c>
      <c r="C150" s="5" t="s">
        <v>83</v>
      </c>
      <c r="D150" s="8" t="s">
        <v>670</v>
      </c>
    </row>
    <row r="151" spans="1:7">
      <c r="A151" s="215" t="s">
        <v>667</v>
      </c>
      <c r="B151" s="215">
        <f>ROW()</f>
        <v>151</v>
      </c>
      <c r="C151" s="256" t="s">
        <v>671</v>
      </c>
      <c r="D151" s="54"/>
    </row>
    <row r="152" spans="1:7">
      <c r="A152"/>
      <c r="B152" s="239" t="s">
        <v>672</v>
      </c>
      <c r="C152" s="236"/>
      <c r="D152" s="236"/>
      <c r="E152" s="253"/>
    </row>
  </sheetData>
  <phoneticPr fontId="12" type="noConversion"/>
  <pageMargins left="0.25" right="0.25" top="0.75" bottom="0.75" header="0.3" footer="0.3"/>
  <pageSetup paperSize="9" scale="38" fitToHeight="0" orientation="portrait" r:id="rId1"/>
  <tableParts count="10">
    <tablePart r:id="rId2"/>
    <tablePart r:id="rId3"/>
    <tablePart r:id="rId4"/>
    <tablePart r:id="rId5"/>
    <tablePart r:id="rId6"/>
    <tablePart r:id="rId7"/>
    <tablePart r:id="rId8"/>
    <tablePart r:id="rId9"/>
    <tablePart r:id="rId10"/>
    <tablePart r:id="rId1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134AD-FA47-47C4-A17D-6B93666D9428}">
  <sheetPr>
    <pageSetUpPr fitToPage="1"/>
  </sheetPr>
  <dimension ref="A1:G26"/>
  <sheetViews>
    <sheetView showGridLines="0" view="pageBreakPreview" topLeftCell="B1" zoomScaleNormal="100" zoomScaleSheetLayoutView="100" workbookViewId="0">
      <selection activeCell="B19" sqref="B19"/>
    </sheetView>
  </sheetViews>
  <sheetFormatPr defaultColWidth="8.7265625" defaultRowHeight="14.5"/>
  <cols>
    <col min="1" max="1" width="33" style="56" hidden="1" customWidth="1"/>
    <col min="2" max="2" width="8" style="56" customWidth="1"/>
    <col min="3" max="3" width="106.7265625" style="56" customWidth="1"/>
    <col min="4" max="4" width="22.26953125" style="56" customWidth="1"/>
    <col min="5" max="5" width="18.7265625" style="56" customWidth="1"/>
    <col min="6" max="6" width="28.26953125" style="56" bestFit="1" customWidth="1"/>
    <col min="7" max="7" width="23.7265625" style="56" customWidth="1"/>
    <col min="8" max="8" width="21.54296875" style="56" customWidth="1"/>
    <col min="9" max="9" width="23.26953125" style="56" customWidth="1"/>
    <col min="10" max="10" width="22.54296875" style="56" customWidth="1"/>
    <col min="11" max="11" width="17.26953125" style="56" customWidth="1"/>
    <col min="12" max="16384" width="8.7265625" style="56"/>
  </cols>
  <sheetData>
    <row r="1" spans="1:6" ht="23.5">
      <c r="B1" s="1" t="str">
        <f>_company_name&amp;"    |     Pricing period starting year - "&amp;TEXT(_pp_starting_year,"dd mmmm yyyy")&amp;"    |     Disclosure year - "&amp;TEXT(_dy_year_ended,"yyyy")</f>
        <v>[select name of the airport]    |     Pricing period starting year - 30 June 2023    |     Disclosure year - 2026</v>
      </c>
    </row>
    <row r="3" spans="1:6" ht="23.5">
      <c r="B3" s="1" t="s">
        <v>673</v>
      </c>
    </row>
    <row r="4" spans="1:6" ht="21">
      <c r="B4" s="61" t="s">
        <v>674</v>
      </c>
    </row>
    <row r="5" spans="1:6" ht="29">
      <c r="A5" s="221" t="s">
        <v>80</v>
      </c>
      <c r="B5" s="222" t="s">
        <v>81</v>
      </c>
      <c r="C5" s="5" t="s">
        <v>83</v>
      </c>
      <c r="D5" s="5" t="s">
        <v>179</v>
      </c>
      <c r="E5" s="8" t="s">
        <v>675</v>
      </c>
      <c r="F5" s="8" t="s">
        <v>676</v>
      </c>
    </row>
    <row r="6" spans="1:6">
      <c r="A6" s="215" t="s">
        <v>674</v>
      </c>
      <c r="B6" s="215">
        <f>ROW()</f>
        <v>6</v>
      </c>
      <c r="C6" s="220" t="s">
        <v>677</v>
      </c>
      <c r="D6" s="54"/>
      <c r="E6" s="60"/>
      <c r="F6" s="60"/>
    </row>
    <row r="7" spans="1:6">
      <c r="A7" s="215" t="s">
        <v>674</v>
      </c>
      <c r="B7" s="215">
        <f>ROW()</f>
        <v>7</v>
      </c>
      <c r="C7" s="220" t="s">
        <v>678</v>
      </c>
      <c r="D7" s="54"/>
      <c r="E7" s="60"/>
      <c r="F7" s="60"/>
    </row>
    <row r="8" spans="1:6">
      <c r="A8" s="215" t="s">
        <v>674</v>
      </c>
      <c r="B8" s="215">
        <f>ROW()</f>
        <v>8</v>
      </c>
      <c r="C8" s="220" t="s">
        <v>679</v>
      </c>
      <c r="D8" s="54"/>
      <c r="E8" s="60"/>
      <c r="F8" s="60"/>
    </row>
    <row r="9" spans="1:6">
      <c r="A9" s="215" t="s">
        <v>674</v>
      </c>
      <c r="B9" s="215">
        <f>ROW()</f>
        <v>9</v>
      </c>
      <c r="C9" s="220" t="s">
        <v>680</v>
      </c>
      <c r="D9" s="54"/>
      <c r="E9" s="60"/>
      <c r="F9" s="60"/>
    </row>
    <row r="10" spans="1:6">
      <c r="A10" s="215" t="s">
        <v>674</v>
      </c>
      <c r="B10" s="215">
        <f>ROW()</f>
        <v>10</v>
      </c>
      <c r="C10" s="220" t="s">
        <v>681</v>
      </c>
      <c r="D10" s="54"/>
      <c r="E10" s="60"/>
      <c r="F10" s="60"/>
    </row>
    <row r="11" spans="1:6">
      <c r="A11" s="215" t="s">
        <v>674</v>
      </c>
      <c r="B11" s="215">
        <f>ROW()</f>
        <v>11</v>
      </c>
      <c r="C11" s="220" t="s">
        <v>682</v>
      </c>
      <c r="D11" s="60"/>
      <c r="E11" s="75"/>
      <c r="F11" s="60"/>
    </row>
    <row r="12" spans="1:6">
      <c r="A12" s="215" t="s">
        <v>674</v>
      </c>
      <c r="B12" s="215">
        <f>ROW()</f>
        <v>12</v>
      </c>
      <c r="C12" s="220" t="s">
        <v>683</v>
      </c>
      <c r="D12" s="60"/>
      <c r="E12" s="75"/>
      <c r="F12" s="60"/>
    </row>
    <row r="13" spans="1:6">
      <c r="A13" s="215" t="s">
        <v>674</v>
      </c>
      <c r="B13" s="215">
        <f>ROW()</f>
        <v>13</v>
      </c>
      <c r="C13" s="220" t="s">
        <v>684</v>
      </c>
      <c r="D13" s="60"/>
      <c r="E13" s="73">
        <f>'S16.Statistics'!E126</f>
        <v>0</v>
      </c>
      <c r="F13" s="60"/>
    </row>
    <row r="14" spans="1:6">
      <c r="A14" s="215" t="s">
        <v>674</v>
      </c>
      <c r="B14" s="215">
        <f>ROW()</f>
        <v>14</v>
      </c>
      <c r="C14" s="220" t="s">
        <v>685</v>
      </c>
      <c r="D14" s="60"/>
      <c r="E14" s="65"/>
      <c r="F14" s="54"/>
    </row>
    <row r="15" spans="1:6">
      <c r="A15" s="215" t="s">
        <v>674</v>
      </c>
      <c r="B15" s="215">
        <f>ROW()</f>
        <v>15</v>
      </c>
      <c r="C15" s="220" t="s">
        <v>686</v>
      </c>
      <c r="D15" s="60"/>
      <c r="E15" s="65"/>
      <c r="F15" s="54"/>
    </row>
    <row r="16" spans="1:6">
      <c r="A16" s="215" t="s">
        <v>674</v>
      </c>
      <c r="B16" s="215">
        <f>ROW()</f>
        <v>16</v>
      </c>
      <c r="C16" s="220" t="s">
        <v>687</v>
      </c>
      <c r="D16" s="60"/>
      <c r="E16" s="65"/>
      <c r="F16" s="54"/>
    </row>
    <row r="19" spans="1:7" ht="21">
      <c r="B19" s="61" t="s">
        <v>688</v>
      </c>
    </row>
    <row r="20" spans="1:7" ht="43.5">
      <c r="A20" s="221" t="s">
        <v>80</v>
      </c>
      <c r="B20" s="222" t="s">
        <v>81</v>
      </c>
      <c r="C20" s="5" t="s">
        <v>83</v>
      </c>
      <c r="D20" s="6" t="s">
        <v>689</v>
      </c>
      <c r="E20" s="8" t="s">
        <v>690</v>
      </c>
      <c r="F20" s="8" t="s">
        <v>691</v>
      </c>
      <c r="G20" s="8" t="s">
        <v>692</v>
      </c>
    </row>
    <row r="21" spans="1:7">
      <c r="A21" s="215" t="s">
        <v>688</v>
      </c>
      <c r="B21" s="215">
        <f>ROW()</f>
        <v>21</v>
      </c>
      <c r="C21" s="220" t="s">
        <v>693</v>
      </c>
      <c r="D21" s="206" t="str">
        <f>IF(E11&lt;&gt;0,1000*D6/E11,"Not defined")</f>
        <v>Not defined</v>
      </c>
      <c r="E21" s="206" t="str">
        <f>IF(F14&lt;&gt;0,1000*D6/F14,"Not defined")</f>
        <v>Not defined</v>
      </c>
      <c r="F21" s="60"/>
      <c r="G21" s="60"/>
    </row>
    <row r="22" spans="1:7">
      <c r="A22" s="215" t="s">
        <v>688</v>
      </c>
      <c r="B22" s="215">
        <f>ROW()</f>
        <v>22</v>
      </c>
      <c r="C22" s="220" t="s">
        <v>694</v>
      </c>
      <c r="D22" s="206" t="str">
        <f>IF(E12&lt;&gt;0,1000*D7/E12,"Not defined")</f>
        <v>Not defined</v>
      </c>
      <c r="E22" s="206" t="str">
        <f>IF(F15&lt;&gt;0,1000*D7/F15,"Not defined")</f>
        <v>Not defined</v>
      </c>
      <c r="F22" s="60"/>
      <c r="G22" s="60"/>
    </row>
    <row r="23" spans="1:7">
      <c r="A23" s="215" t="s">
        <v>688</v>
      </c>
      <c r="B23" s="215">
        <f>ROW()</f>
        <v>23</v>
      </c>
      <c r="C23" s="220" t="s">
        <v>695</v>
      </c>
      <c r="D23" s="206" t="str">
        <f>IF(E13&lt;&gt;0,1000*D8/E13,"Not defined")</f>
        <v>Not defined</v>
      </c>
      <c r="E23" s="206" t="str">
        <f>IF(F16&lt;&gt;0,1000*D8/F16,"Not defined")</f>
        <v>Not defined</v>
      </c>
      <c r="F23" s="60"/>
      <c r="G23" s="60"/>
    </row>
    <row r="24" spans="1:7">
      <c r="A24" s="215" t="s">
        <v>688</v>
      </c>
      <c r="B24" s="215">
        <f>ROW()</f>
        <v>24</v>
      </c>
      <c r="C24" s="220" t="s">
        <v>696</v>
      </c>
      <c r="D24" s="60"/>
      <c r="E24" s="65"/>
      <c r="F24" s="206" t="str">
        <f>IF((E11+E12)&lt;&gt;0,1000*(D9)/(E11+E12),"Not defined")</f>
        <v>Not defined</v>
      </c>
      <c r="G24" s="206" t="str">
        <f>IF(E13&lt;&gt;0,1000*D10/E13,"Not defined")</f>
        <v>Not defined</v>
      </c>
    </row>
    <row r="25" spans="1:7">
      <c r="A25" s="215" t="s">
        <v>688</v>
      </c>
      <c r="B25" s="215">
        <f>ROW()</f>
        <v>25</v>
      </c>
      <c r="C25" s="220" t="s">
        <v>697</v>
      </c>
      <c r="D25" s="60"/>
      <c r="E25" s="65"/>
      <c r="F25" s="206" t="str">
        <f>IF((E11+E12)&lt;&gt;0,1000*(D6+D7+D9)/(E11+E12),"Not defined")</f>
        <v>Not defined</v>
      </c>
      <c r="G25" s="206" t="str">
        <f>IF(E13&lt;&gt;0,1000*(D8+D10)/E13,"Not defined")</f>
        <v>Not defined</v>
      </c>
    </row>
    <row r="26" spans="1:7">
      <c r="A26"/>
      <c r="B26" s="45" t="s">
        <v>698</v>
      </c>
      <c r="C26"/>
      <c r="D26" s="38"/>
      <c r="E26" s="38"/>
      <c r="F26"/>
      <c r="G26"/>
    </row>
  </sheetData>
  <pageMargins left="0.25" right="0.25" top="0.75" bottom="0.75" header="0.3" footer="0.3"/>
  <pageSetup paperSize="9" scale="47" fitToHeight="0" orientation="portrait" r:id="rId1"/>
  <tableParts count="2">
    <tablePart r:id="rId2"/>
    <tablePart r:id="rId3"/>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BD0DD-CDB1-4F25-8157-E45E581093EE}">
  <sheetPr>
    <pageSetUpPr fitToPage="1"/>
  </sheetPr>
  <dimension ref="A1:E13"/>
  <sheetViews>
    <sheetView showGridLines="0" view="pageBreakPreview" topLeftCell="B1" zoomScaleNormal="100" zoomScaleSheetLayoutView="100" workbookViewId="0">
      <selection activeCell="B19" sqref="B19"/>
    </sheetView>
  </sheetViews>
  <sheetFormatPr defaultColWidth="8.7265625" defaultRowHeight="14"/>
  <cols>
    <col min="1" max="1" width="28.7265625" style="66" hidden="1" customWidth="1"/>
    <col min="2" max="2" width="9.7265625" style="66" bestFit="1" customWidth="1"/>
    <col min="3" max="3" width="68.54296875" style="66" customWidth="1"/>
    <col min="4" max="4" width="27.54296875" style="66" bestFit="1" customWidth="1"/>
    <col min="5" max="5" width="16.7265625" style="66" customWidth="1"/>
    <col min="6" max="6" width="11.54296875" style="66" customWidth="1"/>
    <col min="7" max="7" width="15.54296875" style="66" customWidth="1"/>
    <col min="8" max="16384" width="8.7265625" style="66"/>
  </cols>
  <sheetData>
    <row r="1" spans="1:5" ht="19.5">
      <c r="B1" s="295" t="str">
        <f>_company_name&amp;"    |     Pricing period starting year - "&amp;TEXT(_pp_starting_year,"dd mmmm yyyy")&amp;"    |     Disclosure year - "&amp;TEXT(_dy_year_ended,"yyyy")</f>
        <v>[select name of the airport]    |     Pricing period starting year - 30 June 2023    |     Disclosure year - 2026</v>
      </c>
    </row>
    <row r="3" spans="1:5" ht="23.5">
      <c r="B3" s="1" t="s">
        <v>699</v>
      </c>
    </row>
    <row r="4" spans="1:5" ht="21">
      <c r="B4" s="61" t="s">
        <v>700</v>
      </c>
    </row>
    <row r="5" spans="1:5" ht="14.5">
      <c r="A5" s="221" t="s">
        <v>80</v>
      </c>
      <c r="B5" s="221" t="s">
        <v>81</v>
      </c>
      <c r="C5" s="4" t="s">
        <v>83</v>
      </c>
      <c r="D5" s="4" t="s">
        <v>701</v>
      </c>
      <c r="E5" s="4" t="s">
        <v>702</v>
      </c>
    </row>
    <row r="6" spans="1:5" ht="14.5">
      <c r="A6" s="215" t="s">
        <v>700</v>
      </c>
      <c r="B6" s="215">
        <f>ROW()</f>
        <v>6</v>
      </c>
      <c r="C6" s="220" t="s">
        <v>703</v>
      </c>
      <c r="D6" s="54"/>
      <c r="E6" s="67"/>
    </row>
    <row r="7" spans="1:5" ht="14.5">
      <c r="A7" s="215" t="s">
        <v>700</v>
      </c>
      <c r="B7" s="215">
        <f>ROW()</f>
        <v>7</v>
      </c>
      <c r="C7" s="220" t="s">
        <v>704</v>
      </c>
      <c r="D7" s="54"/>
      <c r="E7" s="67"/>
    </row>
    <row r="8" spans="1:5" ht="14.5">
      <c r="A8" s="215" t="s">
        <v>700</v>
      </c>
      <c r="B8" s="215">
        <f>ROW()</f>
        <v>8</v>
      </c>
      <c r="C8" s="220" t="s">
        <v>705</v>
      </c>
      <c r="D8" s="54"/>
      <c r="E8" s="67"/>
    </row>
    <row r="9" spans="1:5" ht="14.5">
      <c r="A9" s="215" t="s">
        <v>700</v>
      </c>
      <c r="B9" s="215">
        <f>ROW()</f>
        <v>9</v>
      </c>
      <c r="C9" s="220" t="s">
        <v>706</v>
      </c>
      <c r="D9" s="54"/>
      <c r="E9" s="67"/>
    </row>
    <row r="10" spans="1:5" ht="14.5">
      <c r="A10" s="215" t="s">
        <v>700</v>
      </c>
      <c r="B10" s="215">
        <f>ROW()</f>
        <v>10</v>
      </c>
      <c r="C10" s="220" t="s">
        <v>707</v>
      </c>
      <c r="D10" s="54"/>
      <c r="E10" s="67"/>
    </row>
    <row r="11" spans="1:5" ht="15" thickBot="1">
      <c r="A11" s="215" t="s">
        <v>700</v>
      </c>
      <c r="B11" s="215">
        <f>ROW()</f>
        <v>11</v>
      </c>
      <c r="C11" s="220" t="s">
        <v>708</v>
      </c>
      <c r="D11" s="54"/>
      <c r="E11" s="68"/>
    </row>
    <row r="12" spans="1:5" ht="15" thickBot="1">
      <c r="A12" s="215" t="s">
        <v>700</v>
      </c>
      <c r="B12" s="215">
        <f>ROW()</f>
        <v>12</v>
      </c>
      <c r="C12" s="219" t="s">
        <v>709</v>
      </c>
      <c r="D12" s="69">
        <f>(D6+(D9-(D7+D10)-(D8+D11)))/2+(D7+D8)</f>
        <v>0</v>
      </c>
      <c r="E12" s="54"/>
    </row>
    <row r="13" spans="1:5">
      <c r="B13" s="257" t="s">
        <v>710</v>
      </c>
      <c r="C13" s="258"/>
      <c r="D13" s="259"/>
      <c r="E13" s="260"/>
    </row>
  </sheetData>
  <pageMargins left="0.25" right="0.25" top="0.75" bottom="0.75" header="0.3" footer="0.3"/>
  <pageSetup paperSize="9" scale="73" fitToHeight="0" orientation="portrait" r:id="rId1"/>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81E3B-D725-4582-82C0-79BF471ED411}">
  <sheetPr>
    <pageSetUpPr fitToPage="1"/>
  </sheetPr>
  <dimension ref="A1:E23"/>
  <sheetViews>
    <sheetView showGridLines="0" view="pageBreakPreview" zoomScaleNormal="110" zoomScaleSheetLayoutView="100" workbookViewId="0">
      <selection activeCell="A3" sqref="A3"/>
    </sheetView>
  </sheetViews>
  <sheetFormatPr defaultColWidth="8.7265625" defaultRowHeight="14.5"/>
  <cols>
    <col min="1" max="1" width="19.1796875" style="56" customWidth="1"/>
    <col min="2" max="2" width="9.1796875" style="267" bestFit="1" customWidth="1"/>
    <col min="3" max="3" width="17.7265625" style="56" customWidth="1"/>
    <col min="4" max="4" width="33.54296875" style="56" customWidth="1"/>
    <col min="5" max="5" width="62.7265625" style="56" customWidth="1"/>
    <col min="6" max="16384" width="8.7265625" style="56"/>
  </cols>
  <sheetData>
    <row r="1" spans="1:5" ht="21">
      <c r="A1" s="61" t="str">
        <f>_company_name&amp;"    |     Pricing period starting year - "&amp;TEXT(_pp_starting_year,"dd mmmm yyyy")&amp;"    |     Disclosure year - "&amp;TEXT(_dy_year_ended,"yyyy")</f>
        <v>[select name of the airport]    |     Pricing period starting year - 30 June 2023    |     Disclosure year - 2026</v>
      </c>
    </row>
    <row r="3" spans="1:5" ht="21">
      <c r="A3" s="61" t="s">
        <v>51</v>
      </c>
      <c r="C3" s="58"/>
      <c r="D3" s="58"/>
    </row>
    <row r="4" spans="1:5">
      <c r="A4" s="221" t="s">
        <v>80</v>
      </c>
      <c r="B4" s="268" t="s">
        <v>81</v>
      </c>
      <c r="C4" s="5" t="s">
        <v>83</v>
      </c>
      <c r="D4" s="20" t="s">
        <v>711</v>
      </c>
      <c r="E4" s="20" t="s">
        <v>52</v>
      </c>
    </row>
    <row r="5" spans="1:5" ht="121" customHeight="1">
      <c r="A5" s="262" t="s">
        <v>112</v>
      </c>
      <c r="B5" s="265">
        <f>ROW()</f>
        <v>5</v>
      </c>
      <c r="C5" s="263" t="s">
        <v>712</v>
      </c>
      <c r="D5" s="263" t="s">
        <v>713</v>
      </c>
      <c r="E5" s="13"/>
    </row>
    <row r="6" spans="1:5" ht="121" customHeight="1">
      <c r="A6" s="262" t="s">
        <v>714</v>
      </c>
      <c r="B6" s="265">
        <f>ROW()</f>
        <v>6</v>
      </c>
      <c r="C6" s="263" t="s">
        <v>715</v>
      </c>
      <c r="D6" s="263"/>
      <c r="E6" s="13"/>
    </row>
    <row r="7" spans="1:5" ht="121" customHeight="1">
      <c r="A7" s="262" t="s">
        <v>186</v>
      </c>
      <c r="B7" s="265">
        <f>ROW()</f>
        <v>7</v>
      </c>
      <c r="C7" s="263" t="s">
        <v>716</v>
      </c>
      <c r="D7" s="263"/>
      <c r="E7" s="13"/>
    </row>
    <row r="8" spans="1:5" ht="121" customHeight="1">
      <c r="A8" s="262" t="s">
        <v>210</v>
      </c>
      <c r="B8" s="265">
        <f>ROW()</f>
        <v>8</v>
      </c>
      <c r="C8" s="263" t="s">
        <v>717</v>
      </c>
      <c r="D8" s="263" t="s">
        <v>718</v>
      </c>
      <c r="E8" s="13"/>
    </row>
    <row r="9" spans="1:5" ht="121" customHeight="1">
      <c r="A9" s="262" t="s">
        <v>326</v>
      </c>
      <c r="B9" s="265">
        <f>ROW()</f>
        <v>9</v>
      </c>
      <c r="C9" s="263" t="s">
        <v>719</v>
      </c>
      <c r="D9" s="263"/>
      <c r="E9" s="13"/>
    </row>
    <row r="10" spans="1:5" ht="121" customHeight="1">
      <c r="A10" s="262" t="s">
        <v>720</v>
      </c>
      <c r="B10" s="265">
        <f>ROW()</f>
        <v>10</v>
      </c>
      <c r="C10" s="263" t="s">
        <v>721</v>
      </c>
      <c r="D10" s="263" t="s">
        <v>722</v>
      </c>
      <c r="E10" s="13"/>
    </row>
    <row r="11" spans="1:5" ht="121" customHeight="1">
      <c r="A11" s="262" t="s">
        <v>361</v>
      </c>
      <c r="B11" s="265">
        <f>ROW()</f>
        <v>11</v>
      </c>
      <c r="C11" s="263" t="s">
        <v>723</v>
      </c>
      <c r="D11" s="263" t="s">
        <v>724</v>
      </c>
      <c r="E11" s="13"/>
    </row>
    <row r="12" spans="1:5" ht="121" customHeight="1">
      <c r="A12" s="262" t="s">
        <v>385</v>
      </c>
      <c r="B12" s="265">
        <f>ROW()</f>
        <v>12</v>
      </c>
      <c r="C12" s="263" t="s">
        <v>725</v>
      </c>
      <c r="D12" s="263"/>
      <c r="E12" s="13"/>
    </row>
    <row r="13" spans="1:5" ht="121" customHeight="1">
      <c r="A13" s="262" t="s">
        <v>405</v>
      </c>
      <c r="B13" s="265">
        <f>ROW()</f>
        <v>13</v>
      </c>
      <c r="C13" s="263" t="s">
        <v>726</v>
      </c>
      <c r="D13" s="263"/>
      <c r="E13" s="13"/>
    </row>
    <row r="14" spans="1:5" ht="121" customHeight="1">
      <c r="A14" s="262" t="s">
        <v>433</v>
      </c>
      <c r="B14" s="265">
        <f>ROW()</f>
        <v>14</v>
      </c>
      <c r="C14" s="263" t="s">
        <v>727</v>
      </c>
      <c r="D14" s="263"/>
      <c r="E14" s="13"/>
    </row>
    <row r="15" spans="1:5" ht="121" customHeight="1">
      <c r="A15" s="262" t="s">
        <v>462</v>
      </c>
      <c r="B15" s="265">
        <f>ROW()</f>
        <v>15</v>
      </c>
      <c r="C15" s="263" t="s">
        <v>728</v>
      </c>
      <c r="D15" s="263"/>
      <c r="E15" s="13"/>
    </row>
    <row r="16" spans="1:5" ht="121" customHeight="1">
      <c r="A16" s="262" t="s">
        <v>470</v>
      </c>
      <c r="B16" s="265">
        <f>ROW()</f>
        <v>16</v>
      </c>
      <c r="C16" s="263" t="s">
        <v>729</v>
      </c>
      <c r="D16" s="263" t="s">
        <v>730</v>
      </c>
      <c r="E16" s="13"/>
    </row>
    <row r="17" spans="1:5" ht="121" customHeight="1">
      <c r="A17" s="262" t="s">
        <v>493</v>
      </c>
      <c r="B17" s="265">
        <f>ROW()</f>
        <v>17</v>
      </c>
      <c r="C17" s="263" t="s">
        <v>731</v>
      </c>
      <c r="D17" s="263"/>
      <c r="E17" s="13"/>
    </row>
    <row r="18" spans="1:5" ht="121" customHeight="1">
      <c r="A18" s="262" t="s">
        <v>544</v>
      </c>
      <c r="B18" s="265">
        <f>ROW()</f>
        <v>18</v>
      </c>
      <c r="C18" s="263" t="s">
        <v>732</v>
      </c>
      <c r="D18" s="263" t="s">
        <v>733</v>
      </c>
      <c r="E18" s="13"/>
    </row>
    <row r="19" spans="1:5" ht="121" customHeight="1">
      <c r="A19" s="262" t="s">
        <v>598</v>
      </c>
      <c r="B19" s="265">
        <f>ROW()</f>
        <v>19</v>
      </c>
      <c r="C19" s="263" t="s">
        <v>734</v>
      </c>
      <c r="D19" s="263" t="s">
        <v>735</v>
      </c>
      <c r="E19" s="13"/>
    </row>
    <row r="20" spans="1:5" ht="121" customHeight="1">
      <c r="A20" s="262" t="s">
        <v>736</v>
      </c>
      <c r="B20" s="265">
        <f>ROW()</f>
        <v>20</v>
      </c>
      <c r="C20" s="263" t="s">
        <v>737</v>
      </c>
      <c r="D20" s="263" t="s">
        <v>738</v>
      </c>
      <c r="E20" s="13"/>
    </row>
    <row r="21" spans="1:5" ht="121" customHeight="1">
      <c r="A21" s="262" t="s">
        <v>667</v>
      </c>
      <c r="B21" s="265">
        <f>ROW()</f>
        <v>21</v>
      </c>
      <c r="C21" s="263" t="s">
        <v>739</v>
      </c>
      <c r="D21" s="263"/>
      <c r="E21" s="13"/>
    </row>
    <row r="22" spans="1:5" ht="121" customHeight="1">
      <c r="A22" s="262" t="s">
        <v>688</v>
      </c>
      <c r="B22" s="265">
        <f>ROW()</f>
        <v>22</v>
      </c>
      <c r="C22" s="263" t="s">
        <v>740</v>
      </c>
      <c r="D22" s="263"/>
      <c r="E22" s="13"/>
    </row>
    <row r="23" spans="1:5" ht="121" customHeight="1">
      <c r="A23" s="262" t="s">
        <v>741</v>
      </c>
      <c r="B23" s="265">
        <f>ROW()</f>
        <v>23</v>
      </c>
      <c r="C23" s="264" t="s">
        <v>742</v>
      </c>
      <c r="D23" s="264"/>
      <c r="E23" s="13"/>
    </row>
  </sheetData>
  <pageMargins left="0.25" right="0.25" top="0.75" bottom="0.75" header="0.3" footer="0.3"/>
  <pageSetup paperSize="9" scale="69" fitToHeight="0" orientation="portrait" r:id="rId1"/>
  <rowBreaks count="1" manualBreakCount="1">
    <brk id="13" max="16383" man="1"/>
  </rowBreaks>
  <tableParts count="1">
    <tablePart r:id="rId2"/>
  </tableParts>
</worksheet>
</file>

<file path=customXML/item2.xml><?xml version="1.0" encoding="utf-8"?>
<properties xmlns="http://www.imanage.com/work/xmlschema">
  <documentid>iManage!5974359.1</documentid>
  <senderid>TRIXIEO</senderid>
  <senderemail>TRIXIE.OUANO@COMCOM.GOVT.NZ</senderemail>
  <lastmodified>2026-10-27T09:16:28.0000000+13:00</lastmodified>
  <database>iManage</database>
</properties>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36EEDD0-AF47-4DD1-A15C-B77FD2BDCC6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28</vt:i4>
      </vt:variant>
    </vt:vector>
  </HeadingPairs>
  <TitlesOfParts>
    <vt:vector size="50" baseType="lpstr">
      <vt:lpstr>CoverSheet</vt:lpstr>
      <vt:lpstr>TOC</vt:lpstr>
      <vt:lpstr>Guidelines</vt:lpstr>
      <vt:lpstr>S1.Profitability</vt:lpstr>
      <vt:lpstr>S2.Regulatory Profit</vt:lpstr>
      <vt:lpstr>S3.Tax Allowance</vt:lpstr>
      <vt:lpstr>S4.RAB Roll-Forward</vt:lpstr>
      <vt:lpstr>S5.Related Party Transactions</vt:lpstr>
      <vt:lpstr>S6.Actual to Forecast</vt:lpstr>
      <vt:lpstr>S7.Segmented Information</vt:lpstr>
      <vt:lpstr>S8.Consolidation Statement</vt:lpstr>
      <vt:lpstr>S9.Asset Allocation</vt:lpstr>
      <vt:lpstr>S10.Cost Allocation</vt:lpstr>
      <vt:lpstr>S11.Reliability</vt:lpstr>
      <vt:lpstr>S12.Airfield Cap &amp; Utilisation</vt:lpstr>
      <vt:lpstr>S13.Terminal Cap &amp; Utilisation</vt:lpstr>
      <vt:lpstr>S14.Passenger Surveys</vt:lpstr>
      <vt:lpstr>S15.Forum</vt:lpstr>
      <vt:lpstr>S16.Statistics</vt:lpstr>
      <vt:lpstr>S17.Pricing Stats</vt:lpstr>
      <vt:lpstr>S25.Transitional Initial RAB</vt:lpstr>
      <vt:lpstr>Commentary</vt:lpstr>
      <vt:lpstr>_company_name</vt:lpstr>
      <vt:lpstr>_consistencty_check</vt:lpstr>
      <vt:lpstr>_disc_type</vt:lpstr>
      <vt:lpstr>_disclosure_date</vt:lpstr>
      <vt:lpstr>_dy_year_ended</vt:lpstr>
      <vt:lpstr>_pp_starting_year</vt:lpstr>
      <vt:lpstr>_schedule_numbers</vt:lpstr>
      <vt:lpstr>_template_version</vt:lpstr>
      <vt:lpstr>_template_version_text</vt:lpstr>
      <vt:lpstr>CoverSheet!Print_Area</vt:lpstr>
      <vt:lpstr>Guidelines!Print_Area</vt:lpstr>
      <vt:lpstr>S1.Profitability!Print_Area</vt:lpstr>
      <vt:lpstr>'S10.Cost Allocation'!Print_Area</vt:lpstr>
      <vt:lpstr>S11.Reliability!Print_Area</vt:lpstr>
      <vt:lpstr>'S12.Airfield Cap &amp; Utilisation'!Print_Area</vt:lpstr>
      <vt:lpstr>'S13.Terminal Cap &amp; Utilisation'!Print_Area</vt:lpstr>
      <vt:lpstr>S16.Statistics!Print_Area</vt:lpstr>
      <vt:lpstr>'S17.Pricing Stats'!Print_Area</vt:lpstr>
      <vt:lpstr>'S2.Regulatory Profit'!Print_Area</vt:lpstr>
      <vt:lpstr>'S25.Transitional Initial RAB'!Print_Area</vt:lpstr>
      <vt:lpstr>'S3.Tax Allowance'!Print_Area</vt:lpstr>
      <vt:lpstr>'S4.RAB Roll-Forward'!Print_Area</vt:lpstr>
      <vt:lpstr>'S5.Related Party Transactions'!Print_Area</vt:lpstr>
      <vt:lpstr>'S6.Actual to Forecast'!Print_Area</vt:lpstr>
      <vt:lpstr>'S7.Segmented Information'!Print_Area</vt:lpstr>
      <vt:lpstr>'S8.Consolidation Statement'!Print_Area</vt:lpstr>
      <vt:lpstr>'S9.Asset Allocation'!Print_Area</vt:lpstr>
      <vt:lpstr>TOC!Print_Area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2026-10-26T20:16:09Z</dcterms:created>
  <dcterms:modified xsi:type="dcterms:W3CDTF">2026-10-26T20:16:28Z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4efd2b2-a017-48e4-bc88-4dad668ea58a_Enabled">
    <vt:lpwstr>true</vt:lpwstr>
  </property>
  <property fmtid="{D5CDD505-2E9C-101B-9397-08002B2CF9AE}" pid="3" name="MSIP_Label_94efd2b2-a017-48e4-bc88-4dad668ea58a_SetDate">
    <vt:lpwstr>2026-10-26T20:16:28Z</vt:lpwstr>
  </property>
  <property fmtid="{D5CDD505-2E9C-101B-9397-08002B2CF9AE}" pid="4" name="MSIP_Label_94efd2b2-a017-48e4-bc88-4dad668ea58a_Method">
    <vt:lpwstr>Standard</vt:lpwstr>
  </property>
  <property fmtid="{D5CDD505-2E9C-101B-9397-08002B2CF9AE}" pid="5" name="MSIP_Label_94efd2b2-a017-48e4-bc88-4dad668ea58a_Name">
    <vt:lpwstr>UNCLASSIFIED</vt:lpwstr>
  </property>
  <property fmtid="{D5CDD505-2E9C-101B-9397-08002B2CF9AE}" pid="6" name="MSIP_Label_94efd2b2-a017-48e4-bc88-4dad668ea58a_SiteId">
    <vt:lpwstr>88aeac02-ebcd-4789-8af8-615a6b944ba3</vt:lpwstr>
  </property>
  <property fmtid="{D5CDD505-2E9C-101B-9397-08002B2CF9AE}" pid="7" name="MSIP_Label_94efd2b2-a017-48e4-bc88-4dad668ea58a_ActionId">
    <vt:lpwstr>0f420f04-9a5f-4a92-b513-eeee1f1c6b54</vt:lpwstr>
  </property>
  <property fmtid="{D5CDD505-2E9C-101B-9397-08002B2CF9AE}" pid="8" name="MSIP_Label_94efd2b2-a017-48e4-bc88-4dad668ea58a_ContentBits">
    <vt:lpwstr>0</vt:lpwstr>
  </property>
  <property fmtid="{D5CDD505-2E9C-101B-9397-08002B2CF9AE}" pid="9" name="MSIP_Label_94efd2b2-a017-48e4-bc88-4dad668ea58a_Tag">
    <vt:lpwstr>10, 3, 0, 1</vt:lpwstr>
  </property>
</Properties>
</file>